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filterPrivacy="1"/>
  <xr:revisionPtr revIDLastSave="0" documentId="8_{F8A3A260-8D22-4EDE-AA65-B7905B384BD9}" xr6:coauthVersionLast="47" xr6:coauthVersionMax="47" xr10:uidLastSave="{00000000-0000-0000-0000-000000000000}"/>
  <bookViews>
    <workbookView xWindow="0" yWindow="0" windowWidth="28800" windowHeight="10410" firstSheet="1" activeTab="1" xr2:uid="{00000000-000D-0000-FFFF-FFFF00000000}"/>
  </bookViews>
  <sheets>
    <sheet name="SUMAR" sheetId="3" r:id="rId1"/>
    <sheet name="Kalkulacka_OBMENA IKT" sheetId="1" r:id="rId2"/>
    <sheet name="Kalkulacka_PODPORA_Agendy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E26" i="1" s="1"/>
  <c r="F26" i="1" s="1"/>
  <c r="G26" i="1" s="1"/>
  <c r="H26" i="1" s="1"/>
  <c r="I26" i="1" s="1"/>
  <c r="J26" i="1" s="1"/>
  <c r="K26" i="1" s="1"/>
  <c r="L26" i="1" s="1"/>
  <c r="D35" i="2"/>
  <c r="L3" i="3"/>
  <c r="K3" i="3"/>
  <c r="J3" i="3"/>
  <c r="I3" i="3"/>
  <c r="H3" i="3"/>
  <c r="G3" i="3"/>
  <c r="F3" i="3"/>
  <c r="E3" i="3"/>
  <c r="D3" i="3"/>
  <c r="C3" i="3"/>
  <c r="L46" i="2"/>
  <c r="K46" i="2"/>
  <c r="J46" i="2"/>
  <c r="I46" i="2"/>
  <c r="H46" i="2"/>
  <c r="G46" i="2"/>
  <c r="F46" i="2"/>
  <c r="E46" i="2"/>
  <c r="D46" i="2"/>
  <c r="C46" i="2"/>
  <c r="L45" i="2"/>
  <c r="K45" i="2"/>
  <c r="J45" i="2"/>
  <c r="I45" i="2"/>
  <c r="H45" i="2"/>
  <c r="G45" i="2"/>
  <c r="F45" i="2"/>
  <c r="E45" i="2"/>
  <c r="D45" i="2"/>
  <c r="C45" i="2"/>
  <c r="B44" i="2"/>
  <c r="D36" i="2"/>
  <c r="E36" i="2" s="1"/>
  <c r="F36" i="2" s="1"/>
  <c r="G36" i="2" s="1"/>
  <c r="H36" i="2" s="1"/>
  <c r="I36" i="2" s="1"/>
  <c r="J36" i="2" s="1"/>
  <c r="K36" i="2" s="1"/>
  <c r="L36" i="2" s="1"/>
  <c r="E35" i="2"/>
  <c r="F35" i="2" s="1"/>
  <c r="G35" i="2" s="1"/>
  <c r="H35" i="2" s="1"/>
  <c r="I35" i="2" s="1"/>
  <c r="J35" i="2" s="1"/>
  <c r="K35" i="2" s="1"/>
  <c r="L35" i="2" s="1"/>
  <c r="C30" i="2"/>
  <c r="C17" i="2"/>
  <c r="C25" i="2" s="1"/>
  <c r="D23" i="2"/>
  <c r="E23" i="2" s="1"/>
  <c r="F23" i="2" s="1"/>
  <c r="G23" i="2" s="1"/>
  <c r="H23" i="2" s="1"/>
  <c r="I23" i="2" s="1"/>
  <c r="J23" i="2" s="1"/>
  <c r="K23" i="2" s="1"/>
  <c r="L23" i="2" s="1"/>
  <c r="D22" i="2"/>
  <c r="E22" i="2" s="1"/>
  <c r="F22" i="2" s="1"/>
  <c r="G22" i="2" s="1"/>
  <c r="H22" i="2" s="1"/>
  <c r="I22" i="2" s="1"/>
  <c r="J22" i="2" s="1"/>
  <c r="K22" i="2" s="1"/>
  <c r="L22" i="2" s="1"/>
  <c r="D14" i="2"/>
  <c r="E14" i="2" s="1"/>
  <c r="F14" i="2" s="1"/>
  <c r="G14" i="2" s="1"/>
  <c r="H14" i="2" s="1"/>
  <c r="I14" i="2" s="1"/>
  <c r="J14" i="2" s="1"/>
  <c r="K14" i="2" s="1"/>
  <c r="L14" i="2" s="1"/>
  <c r="B13" i="2"/>
  <c r="B3" i="2"/>
  <c r="B3" i="1"/>
  <c r="J16" i="1" s="1"/>
  <c r="C16" i="1"/>
  <c r="D14" i="1"/>
  <c r="C27" i="1"/>
  <c r="D25" i="1"/>
  <c r="E25" i="1" s="1"/>
  <c r="F25" i="1" s="1"/>
  <c r="C38" i="1"/>
  <c r="D36" i="1"/>
  <c r="D38" i="1"/>
  <c r="C14" i="1"/>
  <c r="L14" i="1"/>
  <c r="E36" i="1"/>
  <c r="F36" i="1" s="1"/>
  <c r="E38" i="1"/>
  <c r="K14" i="1"/>
  <c r="J14" i="1"/>
  <c r="I14" i="1"/>
  <c r="H14" i="1"/>
  <c r="G14" i="1"/>
  <c r="F14" i="1"/>
  <c r="E14" i="1"/>
  <c r="B17" i="1"/>
  <c r="B35" i="1"/>
  <c r="B37" i="1"/>
  <c r="B34" i="1"/>
  <c r="B24" i="1"/>
  <c r="B23" i="1"/>
  <c r="B13" i="1"/>
  <c r="C38" i="2" l="1"/>
  <c r="C40" i="2" s="1"/>
  <c r="C37" i="2"/>
  <c r="D39" i="1"/>
  <c r="D27" i="1"/>
  <c r="D28" i="1" s="1"/>
  <c r="C28" i="1"/>
  <c r="C27" i="2"/>
  <c r="C5" i="2" s="1"/>
  <c r="G25" i="1"/>
  <c r="H25" i="1" s="1"/>
  <c r="I25" i="1" s="1"/>
  <c r="J25" i="1" s="1"/>
  <c r="K25" i="1" s="1"/>
  <c r="L25" i="1" s="1"/>
  <c r="F38" i="1"/>
  <c r="G36" i="1"/>
  <c r="E39" i="1"/>
  <c r="D17" i="2"/>
  <c r="C39" i="1"/>
  <c r="C39" i="2"/>
  <c r="C24" i="2"/>
  <c r="D16" i="1"/>
  <c r="D18" i="1" s="1"/>
  <c r="E16" i="1"/>
  <c r="E18" i="1" s="1"/>
  <c r="G16" i="1"/>
  <c r="K16" i="1"/>
  <c r="L16" i="1"/>
  <c r="F16" i="1"/>
  <c r="H16" i="1"/>
  <c r="C18" i="1"/>
  <c r="I16" i="1"/>
  <c r="B3" i="3"/>
  <c r="D30" i="2"/>
  <c r="B14" i="2"/>
  <c r="D37" i="2" l="1"/>
  <c r="D39" i="2" s="1"/>
  <c r="D38" i="2"/>
  <c r="C5" i="1"/>
  <c r="C5" i="3" s="1"/>
  <c r="D4" i="1"/>
  <c r="E27" i="1"/>
  <c r="C4" i="1"/>
  <c r="F39" i="1"/>
  <c r="B25" i="1"/>
  <c r="E17" i="2"/>
  <c r="D25" i="2"/>
  <c r="D24" i="2"/>
  <c r="D40" i="2"/>
  <c r="D26" i="2"/>
  <c r="D4" i="2" s="1"/>
  <c r="D4" i="3" s="1"/>
  <c r="C26" i="2"/>
  <c r="C4" i="2" s="1"/>
  <c r="C1" i="2" s="1"/>
  <c r="G38" i="1"/>
  <c r="H36" i="1"/>
  <c r="K18" i="1"/>
  <c r="I18" i="1"/>
  <c r="B16" i="1"/>
  <c r="J18" i="1"/>
  <c r="L18" i="1"/>
  <c r="H18" i="1"/>
  <c r="G18" i="1"/>
  <c r="F18" i="1"/>
  <c r="E30" i="2"/>
  <c r="D5" i="1" l="1"/>
  <c r="E5" i="1" s="1"/>
  <c r="F5" i="1" s="1"/>
  <c r="G5" i="1" s="1"/>
  <c r="H5" i="1" s="1"/>
  <c r="I5" i="1" s="1"/>
  <c r="J5" i="1" s="1"/>
  <c r="K5" i="1" s="1"/>
  <c r="L5" i="1" s="1"/>
  <c r="C1" i="1"/>
  <c r="E28" i="1"/>
  <c r="E4" i="1" s="1"/>
  <c r="F27" i="1"/>
  <c r="F28" i="1" s="1"/>
  <c r="F4" i="1" s="1"/>
  <c r="I36" i="1"/>
  <c r="H38" i="1"/>
  <c r="H39" i="1" s="1"/>
  <c r="C4" i="3"/>
  <c r="C1" i="3" s="1"/>
  <c r="D27" i="2"/>
  <c r="D5" i="2" s="1"/>
  <c r="G39" i="1"/>
  <c r="F17" i="2"/>
  <c r="E24" i="2"/>
  <c r="E26" i="2" s="1"/>
  <c r="E25" i="2"/>
  <c r="E27" i="2" s="1"/>
  <c r="E37" i="2"/>
  <c r="E38" i="2"/>
  <c r="F30" i="2"/>
  <c r="D1" i="1" l="1"/>
  <c r="E1" i="1"/>
  <c r="G27" i="1"/>
  <c r="F1" i="1"/>
  <c r="G17" i="2"/>
  <c r="F25" i="2"/>
  <c r="F24" i="2"/>
  <c r="E40" i="2"/>
  <c r="E5" i="2" s="1"/>
  <c r="J36" i="1"/>
  <c r="I38" i="1"/>
  <c r="I39" i="1" s="1"/>
  <c r="D1" i="2"/>
  <c r="D5" i="3"/>
  <c r="D1" i="3" s="1"/>
  <c r="E39" i="2"/>
  <c r="E4" i="2" s="1"/>
  <c r="E4" i="3" s="1"/>
  <c r="F37" i="2"/>
  <c r="F38" i="2"/>
  <c r="G30" i="2"/>
  <c r="H27" i="1" l="1"/>
  <c r="H28" i="1" s="1"/>
  <c r="H4" i="1" s="1"/>
  <c r="H1" i="1" s="1"/>
  <c r="G28" i="1"/>
  <c r="G4" i="1" s="1"/>
  <c r="G1" i="1" s="1"/>
  <c r="E1" i="2"/>
  <c r="E5" i="3"/>
  <c r="E1" i="3" s="1"/>
  <c r="G37" i="2"/>
  <c r="G38" i="2"/>
  <c r="F27" i="2"/>
  <c r="H17" i="2"/>
  <c r="G24" i="2"/>
  <c r="G26" i="2" s="1"/>
  <c r="G25" i="2"/>
  <c r="G27" i="2" s="1"/>
  <c r="F39" i="2"/>
  <c r="F40" i="2"/>
  <c r="J38" i="1"/>
  <c r="K36" i="1"/>
  <c r="F26" i="2"/>
  <c r="F4" i="2" s="1"/>
  <c r="F4" i="3" s="1"/>
  <c r="H30" i="2"/>
  <c r="I27" i="1" l="1"/>
  <c r="I28" i="1" s="1"/>
  <c r="I4" i="1" s="1"/>
  <c r="I1" i="1" s="1"/>
  <c r="K38" i="1"/>
  <c r="K39" i="1" s="1"/>
  <c r="L36" i="1"/>
  <c r="G39" i="2"/>
  <c r="G4" i="2" s="1"/>
  <c r="G4" i="3" s="1"/>
  <c r="I17" i="2"/>
  <c r="H24" i="2"/>
  <c r="H25" i="2"/>
  <c r="G40" i="2"/>
  <c r="G5" i="2" s="1"/>
  <c r="J39" i="1"/>
  <c r="F5" i="2"/>
  <c r="H37" i="2"/>
  <c r="H38" i="2"/>
  <c r="H40" i="2" s="1"/>
  <c r="I30" i="2"/>
  <c r="J27" i="1" l="1"/>
  <c r="J28" i="1" s="1"/>
  <c r="J4" i="1" s="1"/>
  <c r="G1" i="2"/>
  <c r="G5" i="3"/>
  <c r="G1" i="3" s="1"/>
  <c r="I38" i="2"/>
  <c r="I40" i="2" s="1"/>
  <c r="I37" i="2"/>
  <c r="H27" i="2"/>
  <c r="H5" i="2" s="1"/>
  <c r="L38" i="1"/>
  <c r="B36" i="1"/>
  <c r="J17" i="2"/>
  <c r="I24" i="2"/>
  <c r="I26" i="2" s="1"/>
  <c r="I25" i="2"/>
  <c r="I27" i="2" s="1"/>
  <c r="I5" i="2" s="1"/>
  <c r="H26" i="2"/>
  <c r="I39" i="2"/>
  <c r="H39" i="2"/>
  <c r="F1" i="2"/>
  <c r="F5" i="3"/>
  <c r="F1" i="3" s="1"/>
  <c r="J30" i="2"/>
  <c r="H4" i="2" l="1"/>
  <c r="H4" i="3" s="1"/>
  <c r="I4" i="2"/>
  <c r="I4" i="3" s="1"/>
  <c r="L27" i="1"/>
  <c r="K27" i="1"/>
  <c r="K17" i="2"/>
  <c r="J24" i="2"/>
  <c r="J26" i="2" s="1"/>
  <c r="J25" i="2"/>
  <c r="J37" i="2"/>
  <c r="J38" i="2"/>
  <c r="J40" i="2" s="1"/>
  <c r="L39" i="1"/>
  <c r="B38" i="1"/>
  <c r="I1" i="2"/>
  <c r="I5" i="3"/>
  <c r="I1" i="3" s="1"/>
  <c r="H1" i="2"/>
  <c r="H5" i="3"/>
  <c r="H1" i="3" s="1"/>
  <c r="J1" i="1"/>
  <c r="K30" i="2"/>
  <c r="L28" i="1" l="1"/>
  <c r="L4" i="1" s="1"/>
  <c r="L1" i="1" s="1"/>
  <c r="B26" i="1"/>
  <c r="B27" i="1"/>
  <c r="K28" i="1"/>
  <c r="K4" i="1" s="1"/>
  <c r="K1" i="1" s="1"/>
  <c r="K37" i="2"/>
  <c r="K38" i="2"/>
  <c r="K40" i="2" s="1"/>
  <c r="L17" i="2"/>
  <c r="K24" i="2"/>
  <c r="K26" i="2" s="1"/>
  <c r="K25" i="2"/>
  <c r="K27" i="2" s="1"/>
  <c r="K5" i="2" s="1"/>
  <c r="J27" i="2"/>
  <c r="J5" i="2" s="1"/>
  <c r="J39" i="2"/>
  <c r="J4" i="2" s="1"/>
  <c r="J4" i="3" s="1"/>
  <c r="K39" i="2"/>
  <c r="L30" i="2"/>
  <c r="K4" i="2" l="1"/>
  <c r="K4" i="3"/>
  <c r="L24" i="2"/>
  <c r="L25" i="2"/>
  <c r="L27" i="2" s="1"/>
  <c r="B25" i="2"/>
  <c r="L37" i="2"/>
  <c r="L39" i="2" s="1"/>
  <c r="L38" i="2"/>
  <c r="L40" i="2" s="1"/>
  <c r="K1" i="2"/>
  <c r="K5" i="3"/>
  <c r="J1" i="2"/>
  <c r="J5" i="3"/>
  <c r="J1" i="3" s="1"/>
  <c r="K1" i="3" l="1"/>
  <c r="B38" i="2"/>
  <c r="B37" i="2"/>
  <c r="L5" i="2"/>
  <c r="L26" i="2"/>
  <c r="L4" i="2" s="1"/>
  <c r="L4" i="3" s="1"/>
  <c r="B24" i="2"/>
  <c r="B43" i="2"/>
  <c r="L1" i="2" l="1"/>
  <c r="L5" i="3"/>
  <c r="L1" i="3" s="1"/>
</calcChain>
</file>

<file path=xl/sharedStrings.xml><?xml version="1.0" encoding="utf-8"?>
<sst xmlns="http://schemas.openxmlformats.org/spreadsheetml/2006/main" count="108" uniqueCount="62">
  <si>
    <t>Rok Návratnosti</t>
  </si>
  <si>
    <t>Premenné</t>
  </si>
  <si>
    <t>Sumár / Roky</t>
  </si>
  <si>
    <t>Investicne vydavky</t>
  </si>
  <si>
    <t>Kumulatívne vydavky AS IS</t>
  </si>
  <si>
    <t>Kumulatívne výdavky TO BE</t>
  </si>
  <si>
    <t>Uplatnený case</t>
  </si>
  <si>
    <t>Prevadzkove naklady</t>
  </si>
  <si>
    <t>NIE</t>
  </si>
  <si>
    <t>Znemožnenie výkonu povolania</t>
  </si>
  <si>
    <t>ANO</t>
  </si>
  <si>
    <t>Zníženie rizika výpadku služby</t>
  </si>
  <si>
    <t>Prevádzkové náklady</t>
  </si>
  <si>
    <t>Ročné prevádzkové náklady - AS IS - SLA</t>
  </si>
  <si>
    <t>Prevadzka - AS IS - kumulatív</t>
  </si>
  <si>
    <t xml:space="preserve"> - </t>
  </si>
  <si>
    <t>Prevádzkové náklady - TO BE - SLA %</t>
  </si>
  <si>
    <t>Ročné prevádzkové náklady - TO BE - SLA</t>
  </si>
  <si>
    <t>Ročné prevádzkové náklady - TO BE - ROZVOJ</t>
  </si>
  <si>
    <t>Prevadzka - TO BE - kumulatív</t>
  </si>
  <si>
    <t>Valorizačné % mzdy</t>
  </si>
  <si>
    <t>Nárast výpadkov počas rokov</t>
  </si>
  <si>
    <t>Počet dotknutých pracovníkov</t>
  </si>
  <si>
    <t>% Práce na ktoré využívajú zariadenie</t>
  </si>
  <si>
    <t>Mzdový náklad</t>
  </si>
  <si>
    <t>% Výpadkov</t>
  </si>
  <si>
    <t>Náklady na výpadky</t>
  </si>
  <si>
    <t>Náklady na výpadky - kumulatív</t>
  </si>
  <si>
    <t xml:space="preserve"> -</t>
  </si>
  <si>
    <t>Nárast výpadku služby v %</t>
  </si>
  <si>
    <t>Priemerná hodinová mzda</t>
  </si>
  <si>
    <t>Valorizácia mzdy v %</t>
  </si>
  <si>
    <t>Počet podaní - ročne</t>
  </si>
  <si>
    <t>Dĺžka trvania služby - min</t>
  </si>
  <si>
    <t>% Výpadku služby</t>
  </si>
  <si>
    <t>% Predĺženia služby</t>
  </si>
  <si>
    <t>Náklady na prestoje</t>
  </si>
  <si>
    <t>Náklady na prestoje - kumulatív</t>
  </si>
  <si>
    <t>Kumulatívne náklady AS IS</t>
  </si>
  <si>
    <t>Kumulatívne náklady TO BE</t>
  </si>
  <si>
    <t>Uplatneny case</t>
  </si>
  <si>
    <t>Úspora nákladov na strane štátu</t>
  </si>
  <si>
    <t>Úspora nákladov klienta</t>
  </si>
  <si>
    <t>Kvalitatívna úspora</t>
  </si>
  <si>
    <t>Počet uživateľských požiadaviek v systéme</t>
  </si>
  <si>
    <t>Počet uživateľských požiadaviek - AS IS</t>
  </si>
  <si>
    <t>Počet uživateľských požiadaviek - TO BE</t>
  </si>
  <si>
    <t>Mzdové náklady hodinový</t>
  </si>
  <si>
    <t>Valorizácia mzdy</t>
  </si>
  <si>
    <t>Inflačný kooeficient</t>
  </si>
  <si>
    <t>Čas spracovania podania AS IS</t>
  </si>
  <si>
    <t>Čas spracovania podania TO BE</t>
  </si>
  <si>
    <t>Materiálové náklady AS IS</t>
  </si>
  <si>
    <t>Materiálové náklady TO BE</t>
  </si>
  <si>
    <t>Náklady na podania AS IS</t>
  </si>
  <si>
    <t>Náklady na podania TO BE</t>
  </si>
  <si>
    <t>Úspora nákladov na strane žiadateľa</t>
  </si>
  <si>
    <t>Čas vypracovania podania - žiadateľ AS IS</t>
  </si>
  <si>
    <t>Čas vypracovania podania - žiadateľ TO BE</t>
  </si>
  <si>
    <t>Kvalitatívny prínos</t>
  </si>
  <si>
    <t>Hodnota nákladov AS IS</t>
  </si>
  <si>
    <t>Hodnota nákladov TO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</si>
</sst>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&quot;€&quot;"/>
    <numFmt numFmtId="166" formatCode="_-* #,##0.00\ [$€-41B]_-;\-* #,##0.00\ [$€-41B]_-;_-* &quot;-&quot;??\ [$€-41B]_-;_-@_-"/>
  </numFmts>
  <fonts count="4">
    <font>
      <sz val="10"/>
      <color theme="1"/>
      <name val="Calibri Light"/>
      <family val="2"/>
      <charset val="238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1" xfId="0" applyFill="1" applyBorder="1"/>
    <xf numFmtId="0" fontId="2" fillId="3" borderId="1" xfId="0" applyFont="1" applyFill="1" applyBorder="1"/>
    <xf numFmtId="164" fontId="0" fillId="5" borderId="1" xfId="0" applyNumberFormat="1" applyFill="1" applyBorder="1"/>
    <xf numFmtId="164" fontId="0" fillId="4" borderId="1" xfId="0" applyNumberFormat="1" applyFill="1" applyBorder="1"/>
    <xf numFmtId="9" fontId="0" fillId="5" borderId="1" xfId="0" applyNumberFormat="1" applyFill="1" applyBorder="1"/>
    <xf numFmtId="164" fontId="0" fillId="5" borderId="1" xfId="0" applyNumberFormat="1" applyFill="1" applyBorder="1" applyAlignment="1">
      <alignment horizontal="right"/>
    </xf>
    <xf numFmtId="9" fontId="0" fillId="2" borderId="2" xfId="0" applyNumberFormat="1" applyFill="1" applyBorder="1"/>
    <xf numFmtId="9" fontId="0" fillId="2" borderId="3" xfId="0" applyNumberFormat="1" applyFill="1" applyBorder="1"/>
    <xf numFmtId="0" fontId="0" fillId="5" borderId="1" xfId="0" applyFill="1" applyBorder="1"/>
    <xf numFmtId="9" fontId="0" fillId="2" borderId="4" xfId="0" applyNumberFormat="1" applyFill="1" applyBorder="1"/>
    <xf numFmtId="9" fontId="0" fillId="2" borderId="5" xfId="0" applyNumberFormat="1" applyFill="1" applyBorder="1"/>
    <xf numFmtId="9" fontId="0" fillId="2" borderId="6" xfId="0" applyNumberFormat="1" applyFill="1" applyBorder="1"/>
    <xf numFmtId="9" fontId="0" fillId="2" borderId="7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8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9" fontId="3" fillId="4" borderId="1" xfId="0" applyNumberFormat="1" applyFont="1" applyFill="1" applyBorder="1"/>
    <xf numFmtId="164" fontId="3" fillId="4" borderId="1" xfId="0" applyNumberFormat="1" applyFont="1" applyFill="1" applyBorder="1"/>
    <xf numFmtId="3" fontId="0" fillId="5" borderId="1" xfId="0" applyNumberFormat="1" applyFill="1" applyBorder="1"/>
    <xf numFmtId="0" fontId="2" fillId="2" borderId="1" xfId="0" applyFont="1" applyFill="1" applyBorder="1" applyAlignment="1">
      <alignment horizontal="center"/>
    </xf>
    <xf numFmtId="4" fontId="0" fillId="4" borderId="1" xfId="0" applyNumberFormat="1" applyFill="1" applyBorder="1"/>
    <xf numFmtId="165" fontId="2" fillId="4" borderId="1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9" xfId="0" applyFont="1" applyFill="1" applyBorder="1"/>
    <xf numFmtId="0" fontId="0" fillId="3" borderId="10" xfId="0" applyFill="1" applyBorder="1"/>
    <xf numFmtId="0" fontId="0" fillId="5" borderId="10" xfId="0" applyFill="1" applyBorder="1"/>
    <xf numFmtId="0" fontId="0" fillId="5" borderId="11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164" fontId="0" fillId="4" borderId="13" xfId="0" applyNumberFormat="1" applyFill="1" applyBorder="1"/>
    <xf numFmtId="164" fontId="0" fillId="5" borderId="13" xfId="0" applyNumberFormat="1" applyFill="1" applyBorder="1"/>
    <xf numFmtId="0" fontId="0" fillId="2" borderId="14" xfId="0" applyFill="1" applyBorder="1"/>
    <xf numFmtId="0" fontId="0" fillId="2" borderId="15" xfId="0" applyFill="1" applyBorder="1"/>
    <xf numFmtId="0" fontId="1" fillId="3" borderId="12" xfId="0" applyFont="1" applyFill="1" applyBorder="1"/>
    <xf numFmtId="0" fontId="2" fillId="3" borderId="12" xfId="0" applyFont="1" applyFill="1" applyBorder="1" applyAlignment="1">
      <alignment wrapText="1"/>
    </xf>
    <xf numFmtId="4" fontId="0" fillId="4" borderId="13" xfId="0" applyNumberFormat="1" applyFill="1" applyBorder="1"/>
    <xf numFmtId="0" fontId="2" fillId="3" borderId="12" xfId="0" applyFont="1" applyFill="1" applyBorder="1" applyAlignment="1">
      <alignment horizontal="left"/>
    </xf>
    <xf numFmtId="165" fontId="2" fillId="5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5" fontId="0" fillId="5" borderId="13" xfId="0" applyNumberFormat="1" applyFill="1" applyBorder="1"/>
    <xf numFmtId="0" fontId="2" fillId="3" borderId="16" xfId="0" applyFont="1" applyFill="1" applyBorder="1"/>
    <xf numFmtId="164" fontId="0" fillId="5" borderId="0" xfId="0" applyNumberFormat="1" applyFill="1"/>
    <xf numFmtId="164" fontId="0" fillId="5" borderId="15" xfId="0" applyNumberFormat="1" applyFill="1" applyBorder="1"/>
    <xf numFmtId="165" fontId="3" fillId="4" borderId="13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0" fontId="2" fillId="3" borderId="17" xfId="0" applyFont="1" applyFill="1" applyBorder="1"/>
    <xf numFmtId="165" fontId="3" fillId="5" borderId="18" xfId="0" applyNumberFormat="1" applyFont="1" applyFill="1" applyBorder="1" applyAlignment="1">
      <alignment horizontal="center"/>
    </xf>
    <xf numFmtId="165" fontId="3" fillId="5" borderId="19" xfId="0" applyNumberFormat="1" applyFont="1" applyFill="1" applyBorder="1" applyAlignment="1">
      <alignment horizontal="center"/>
    </xf>
    <xf numFmtId="0" fontId="2" fillId="3" borderId="20" xfId="0" applyFont="1" applyFill="1" applyBorder="1"/>
    <xf numFmtId="164" fontId="0" fillId="5" borderId="18" xfId="0" applyNumberFormat="1" applyFill="1" applyBorder="1" applyAlignment="1">
      <alignment horizontal="right"/>
    </xf>
    <xf numFmtId="164" fontId="0" fillId="5" borderId="21" xfId="0" applyNumberFormat="1" applyFill="1" applyBorder="1"/>
    <xf numFmtId="164" fontId="0" fillId="5" borderId="22" xfId="0" applyNumberFormat="1" applyFill="1" applyBorder="1"/>
    <xf numFmtId="164" fontId="0" fillId="5" borderId="18" xfId="0" applyNumberFormat="1" applyFill="1" applyBorder="1"/>
    <xf numFmtId="164" fontId="0" fillId="5" borderId="19" xfId="0" applyNumberFormat="1" applyFill="1" applyBorder="1"/>
    <xf numFmtId="164" fontId="0" fillId="4" borderId="13" xfId="0" applyNumberFormat="1" applyFill="1" applyBorder="1" applyAlignment="1">
      <alignment horizontal="center"/>
    </xf>
    <xf numFmtId="0" fontId="1" fillId="3" borderId="17" xfId="0" applyFont="1" applyFill="1" applyBorder="1"/>
    <xf numFmtId="164" fontId="0" fillId="4" borderId="19" xfId="0" applyNumberFormat="1" applyFill="1" applyBorder="1" applyAlignment="1">
      <alignment horizontal="center"/>
    </xf>
    <xf numFmtId="0" fontId="2" fillId="3" borderId="17" xfId="0" applyFont="1" applyFill="1" applyBorder="1" applyAlignment="1">
      <alignment wrapText="1"/>
    </xf>
    <xf numFmtId="3" fontId="0" fillId="5" borderId="18" xfId="0" applyNumberFormat="1" applyFill="1" applyBorder="1"/>
    <xf numFmtId="4" fontId="0" fillId="4" borderId="18" xfId="0" applyNumberFormat="1" applyFill="1" applyBorder="1"/>
    <xf numFmtId="4" fontId="0" fillId="4" borderId="19" xfId="0" applyNumberFormat="1" applyFill="1" applyBorder="1"/>
    <xf numFmtId="164" fontId="0" fillId="2" borderId="26" xfId="0" applyNumberFormat="1" applyFill="1" applyBorder="1"/>
    <xf numFmtId="164" fontId="0" fillId="2" borderId="15" xfId="0" applyNumberFormat="1" applyFill="1" applyBorder="1"/>
    <xf numFmtId="164" fontId="0" fillId="2" borderId="27" xfId="0" applyNumberFormat="1" applyFill="1" applyBorder="1"/>
    <xf numFmtId="9" fontId="0" fillId="5" borderId="13" xfId="0" applyNumberFormat="1" applyFill="1" applyBorder="1"/>
    <xf numFmtId="0" fontId="0" fillId="5" borderId="18" xfId="0" applyFill="1" applyBorder="1" applyAlignment="1">
      <alignment horizontal="right"/>
    </xf>
    <xf numFmtId="9" fontId="0" fillId="2" borderId="26" xfId="0" applyNumberFormat="1" applyFill="1" applyBorder="1"/>
    <xf numFmtId="9" fontId="0" fillId="2" borderId="27" xfId="0" applyNumberFormat="1" applyFill="1" applyBorder="1"/>
    <xf numFmtId="9" fontId="0" fillId="2" borderId="28" xfId="0" applyNumberFormat="1" applyFill="1" applyBorder="1"/>
    <xf numFmtId="166" fontId="0" fillId="0" borderId="0" xfId="0" applyNumberFormat="1"/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</cellXfs>
  <cellStyles count="1">
    <cellStyle name="Normálna" xfId="0" builtinId="0"/>
  </cellStyles>
  <dxfs count="9"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nákladov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SUMAR!$A$4</c:f>
              <c:strCache>
                <c:ptCount val="1"/>
                <c:pt idx="0">
                  <c:v>Kumulatívne vydavky AS 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SUMAR!$B$4:$L$4</c:f>
              <c:numCache>
                <c:formatCode>#,##0\ "€"</c:formatCode>
                <c:ptCount val="11"/>
                <c:pt idx="1">
                  <c:v>7395595.0928000007</c:v>
                </c:pt>
                <c:pt idx="2">
                  <c:v>16062745.074482841</c:v>
                </c:pt>
                <c:pt idx="3">
                  <c:v>26190739.082760938</c:v>
                </c:pt>
                <c:pt idx="4">
                  <c:v>38030793.770711496</c:v>
                </c:pt>
                <c:pt idx="5">
                  <c:v>51877575.403166048</c:v>
                </c:pt>
                <c:pt idx="6">
                  <c:v>68076727.280315518</c:v>
                </c:pt>
                <c:pt idx="7">
                  <c:v>87033701.876189217</c:v>
                </c:pt>
                <c:pt idx="8">
                  <c:v>109224123.86727262</c:v>
                </c:pt>
                <c:pt idx="9">
                  <c:v>135205949.43608898</c:v>
                </c:pt>
                <c:pt idx="10">
                  <c:v>165633733.24154663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2-47B8-B1AE-F6BB8D630019}"/>
            </c:ext>
          </c:extLst>
        </c:ser>
        <c:ser>
          <c:idx val="1"/>
          <c:order val="1"/>
          <c:tx>
            <c:strRef>
              <c:f>SUMAR!$A$5</c:f>
              <c:strCache>
                <c:ptCount val="1"/>
                <c:pt idx="0">
                  <c:v>Kumulatívne výdavky TO BE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SUMAR!$B$5:$L$5</c:f>
              <c:numCache>
                <c:formatCode>#,##0\ "€"</c:formatCode>
                <c:ptCount val="11"/>
                <c:pt idx="1">
                  <c:v>18013692.092799999</c:v>
                </c:pt>
                <c:pt idx="2">
                  <c:v>18559993.59905</c:v>
                </c:pt>
                <c:pt idx="3">
                  <c:v>19107305.644003127</c:v>
                </c:pt>
                <c:pt idx="4">
                  <c:v>19655699.293571528</c:v>
                </c:pt>
                <c:pt idx="5">
                  <c:v>20205250.628300834</c:v>
                </c:pt>
                <c:pt idx="6">
                  <c:v>20756041.097996537</c:v>
                </c:pt>
                <c:pt idx="7">
                  <c:v>21308157.901464555</c:v>
                </c:pt>
                <c:pt idx="8">
                  <c:v>21861694.393146183</c:v>
                </c:pt>
                <c:pt idx="9">
                  <c:v>22416750.518553879</c:v>
                </c:pt>
                <c:pt idx="10">
                  <c:v>22973433.28054953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2-47B8-B1AE-F6BB8D63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77487"/>
        <c:axId val="98377903"/>
      </c:lineChart>
      <c:catAx>
        <c:axId val="98377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77903"/>
        <c:crosses val="autoZero"/>
        <c:auto val="1"/>
        <c:lblAlgn val="ctr"/>
        <c:lblOffset val="100"/>
        <c:noMultiLvlLbl val="0"/>
      </c:catAx>
      <c:valAx>
        <c:axId val="9837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7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83820</xdr:rowOff>
    </xdr:from>
    <xdr:to>
      <xdr:col>12</xdr:col>
      <xdr:colOff>22860</xdr:colOff>
      <xdr:row>22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819D169-55C4-4168-A319-3E734B2A8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workbookViewId="0">
      <selection activeCell="A23" sqref="A23"/>
    </sheetView>
  </sheetViews>
  <sheetFormatPr defaultColWidth="9" defaultRowHeight="12.75"/>
  <cols>
    <col min="1" max="1" width="40.85546875" bestFit="1" customWidth="1"/>
    <col min="2" max="2" width="14.5703125" bestFit="1" customWidth="1"/>
    <col min="3" max="9" width="11.42578125" customWidth="1"/>
    <col min="10" max="10" width="14.7109375" customWidth="1"/>
    <col min="11" max="11" width="15" customWidth="1"/>
    <col min="12" max="12" width="16.5703125" customWidth="1"/>
  </cols>
  <sheetData>
    <row r="1" spans="1:12">
      <c r="A1" s="5" t="s">
        <v>0</v>
      </c>
      <c r="B1" s="4"/>
      <c r="C1" s="12" t="str">
        <f>IF(C5&lt;C4,"NAVRAT","")</f>
        <v/>
      </c>
      <c r="D1" s="12" t="str">
        <f t="shared" ref="D1:L1" si="0">IF(D5&lt;D4,"NAVRAT","")</f>
        <v/>
      </c>
      <c r="E1" s="12" t="str">
        <f t="shared" si="0"/>
        <v>NAVRAT</v>
      </c>
      <c r="F1" s="12" t="str">
        <f t="shared" si="0"/>
        <v>NAVRAT</v>
      </c>
      <c r="G1" s="12" t="str">
        <f t="shared" si="0"/>
        <v>NAVRAT</v>
      </c>
      <c r="H1" s="12" t="str">
        <f t="shared" si="0"/>
        <v>NAVRAT</v>
      </c>
      <c r="I1" s="12" t="str">
        <f t="shared" si="0"/>
        <v>NAVRAT</v>
      </c>
      <c r="J1" s="12" t="str">
        <f t="shared" si="0"/>
        <v>NAVRAT</v>
      </c>
      <c r="K1" s="12" t="str">
        <f t="shared" si="0"/>
        <v>NAVRAT</v>
      </c>
      <c r="L1" s="12" t="str">
        <f t="shared" si="0"/>
        <v>NAVRAT</v>
      </c>
    </row>
    <row r="2" spans="1:12">
      <c r="A2" s="5" t="s">
        <v>1</v>
      </c>
      <c r="B2" s="5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</row>
    <row r="3" spans="1:12">
      <c r="A3" s="5" t="s">
        <v>3</v>
      </c>
      <c r="B3" s="6">
        <f>SUM(C3:L3)</f>
        <v>10637147</v>
      </c>
      <c r="C3" s="6">
        <f>'Kalkulacka_OBMENA IKT'!C3+Kalkulacka_PODPORA_Agendy!C3</f>
        <v>10637147</v>
      </c>
      <c r="D3" s="6">
        <f>'Kalkulacka_OBMENA IKT'!D3+Kalkulacka_PODPORA_Agendy!D3</f>
        <v>0</v>
      </c>
      <c r="E3" s="6">
        <f>'Kalkulacka_OBMENA IKT'!E3+Kalkulacka_PODPORA_Agendy!E3</f>
        <v>0</v>
      </c>
      <c r="F3" s="6">
        <f>'Kalkulacka_OBMENA IKT'!F3+Kalkulacka_PODPORA_Agendy!F3</f>
        <v>0</v>
      </c>
      <c r="G3" s="6">
        <f>'Kalkulacka_OBMENA IKT'!G3+Kalkulacka_PODPORA_Agendy!G3</f>
        <v>0</v>
      </c>
      <c r="H3" s="6">
        <f>'Kalkulacka_OBMENA IKT'!H3+Kalkulacka_PODPORA_Agendy!H3</f>
        <v>0</v>
      </c>
      <c r="I3" s="6">
        <f>'Kalkulacka_OBMENA IKT'!I3+Kalkulacka_PODPORA_Agendy!I3</f>
        <v>0</v>
      </c>
      <c r="J3" s="6">
        <f>'Kalkulacka_OBMENA IKT'!J3+Kalkulacka_PODPORA_Agendy!J3</f>
        <v>0</v>
      </c>
      <c r="K3" s="6">
        <f>'Kalkulacka_OBMENA IKT'!K3+Kalkulacka_PODPORA_Agendy!K3</f>
        <v>0</v>
      </c>
      <c r="L3" s="6">
        <f>'Kalkulacka_OBMENA IKT'!L3+Kalkulacka_PODPORA_Agendy!L3</f>
        <v>0</v>
      </c>
    </row>
    <row r="4" spans="1:12">
      <c r="A4" s="5" t="s">
        <v>4</v>
      </c>
      <c r="B4" s="6"/>
      <c r="C4" s="6">
        <f>'Kalkulacka_OBMENA IKT'!C4+Kalkulacka_PODPORA_Agendy!C4</f>
        <v>7395595.0928000007</v>
      </c>
      <c r="D4" s="6">
        <f>'Kalkulacka_OBMENA IKT'!D4+Kalkulacka_PODPORA_Agendy!D4</f>
        <v>16062745.074482841</v>
      </c>
      <c r="E4" s="6">
        <f>'Kalkulacka_OBMENA IKT'!E4+Kalkulacka_PODPORA_Agendy!E4</f>
        <v>26190739.082760938</v>
      </c>
      <c r="F4" s="6">
        <f>'Kalkulacka_OBMENA IKT'!F4+Kalkulacka_PODPORA_Agendy!F4</f>
        <v>38030793.770711496</v>
      </c>
      <c r="G4" s="6">
        <f>'Kalkulacka_OBMENA IKT'!G4+Kalkulacka_PODPORA_Agendy!G4</f>
        <v>51877575.403166048</v>
      </c>
      <c r="H4" s="6">
        <f>'Kalkulacka_OBMENA IKT'!H4+Kalkulacka_PODPORA_Agendy!H4</f>
        <v>68076727.280315518</v>
      </c>
      <c r="I4" s="6">
        <f>'Kalkulacka_OBMENA IKT'!I4+Kalkulacka_PODPORA_Agendy!I4</f>
        <v>87033701.876189217</v>
      </c>
      <c r="J4" s="6">
        <f>'Kalkulacka_OBMENA IKT'!J4+Kalkulacka_PODPORA_Agendy!J4</f>
        <v>109224123.86727262</v>
      </c>
      <c r="K4" s="6">
        <f>'Kalkulacka_OBMENA IKT'!K4+Kalkulacka_PODPORA_Agendy!K4</f>
        <v>135205949.43608898</v>
      </c>
      <c r="L4" s="6">
        <f>'Kalkulacka_OBMENA IKT'!L4+Kalkulacka_PODPORA_Agendy!L4</f>
        <v>165633733.24154663</v>
      </c>
    </row>
    <row r="5" spans="1:12">
      <c r="A5" s="5" t="s">
        <v>5</v>
      </c>
      <c r="B5" s="6"/>
      <c r="C5" s="6">
        <f>'Kalkulacka_OBMENA IKT'!C5+Kalkulacka_PODPORA_Agendy!C5</f>
        <v>18013692.092799999</v>
      </c>
      <c r="D5" s="6">
        <f>'Kalkulacka_OBMENA IKT'!D5+Kalkulacka_PODPORA_Agendy!D5</f>
        <v>18559993.59905</v>
      </c>
      <c r="E5" s="6">
        <f>'Kalkulacka_OBMENA IKT'!E5+Kalkulacka_PODPORA_Agendy!E5</f>
        <v>19107305.644003127</v>
      </c>
      <c r="F5" s="6">
        <f>'Kalkulacka_OBMENA IKT'!F5+Kalkulacka_PODPORA_Agendy!F5</f>
        <v>19655699.293571528</v>
      </c>
      <c r="G5" s="6">
        <f>'Kalkulacka_OBMENA IKT'!G5+Kalkulacka_PODPORA_Agendy!G5</f>
        <v>20205250.628300834</v>
      </c>
      <c r="H5" s="6">
        <f>'Kalkulacka_OBMENA IKT'!H5+Kalkulacka_PODPORA_Agendy!H5</f>
        <v>20756041.097996537</v>
      </c>
      <c r="I5" s="6">
        <f>'Kalkulacka_OBMENA IKT'!I5+Kalkulacka_PODPORA_Agendy!I5</f>
        <v>21308157.901464555</v>
      </c>
      <c r="J5" s="6">
        <f>'Kalkulacka_OBMENA IKT'!J5+Kalkulacka_PODPORA_Agendy!J5</f>
        <v>21861694.393146183</v>
      </c>
      <c r="K5" s="6">
        <f>'Kalkulacka_OBMENA IKT'!K5+Kalkulacka_PODPORA_Agendy!K5</f>
        <v>22416750.518553879</v>
      </c>
      <c r="L5" s="6">
        <f>'Kalkulacka_OBMENA IKT'!L5+Kalkulacka_PODPORA_Agendy!L5</f>
        <v>22973433.28054953</v>
      </c>
    </row>
  </sheetData>
  <conditionalFormatting sqref="C1:L1">
    <cfRule type="containsText" dxfId="8" priority="1" operator="containsText" text="navrat">
      <formula>NOT(ISERROR(SEARCH("navrat",C1)))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tabSelected="1" workbookViewId="0">
      <pane ySplit="10" topLeftCell="A17" activePane="bottomLeft" state="frozen"/>
      <selection pane="bottomLeft" activeCell="N37" sqref="N37"/>
    </sheetView>
  </sheetViews>
  <sheetFormatPr defaultColWidth="9" defaultRowHeight="12.75"/>
  <cols>
    <col min="1" max="1" width="40.85546875" bestFit="1" customWidth="1"/>
    <col min="2" max="2" width="14.5703125" bestFit="1" customWidth="1"/>
    <col min="3" max="9" width="11.42578125" customWidth="1"/>
    <col min="10" max="12" width="12.28515625" bestFit="1" customWidth="1"/>
  </cols>
  <sheetData>
    <row r="1" spans="1:12">
      <c r="A1" s="37" t="s">
        <v>0</v>
      </c>
      <c r="B1" s="38"/>
      <c r="C1" s="39" t="str">
        <f>IF(C5&lt;C4,"NAVRAT","")</f>
        <v/>
      </c>
      <c r="D1" s="39" t="str">
        <f>IF(D5&lt;D4,"NAVRAT","")</f>
        <v/>
      </c>
      <c r="E1" s="39" t="str">
        <f t="shared" ref="E1:L1" si="0">IF(E5&lt;E4,"NAVRAT","")</f>
        <v>NAVRAT</v>
      </c>
      <c r="F1" s="39" t="str">
        <f t="shared" si="0"/>
        <v>NAVRAT</v>
      </c>
      <c r="G1" s="39" t="str">
        <f t="shared" si="0"/>
        <v>NAVRAT</v>
      </c>
      <c r="H1" s="39" t="str">
        <f t="shared" si="0"/>
        <v>NAVRAT</v>
      </c>
      <c r="I1" s="39" t="str">
        <f t="shared" si="0"/>
        <v>NAVRAT</v>
      </c>
      <c r="J1" s="39" t="str">
        <f t="shared" si="0"/>
        <v>NAVRAT</v>
      </c>
      <c r="K1" s="39" t="str">
        <f t="shared" si="0"/>
        <v>NAVRAT</v>
      </c>
      <c r="L1" s="40" t="str">
        <f t="shared" si="0"/>
        <v>NAVRAT</v>
      </c>
    </row>
    <row r="2" spans="1:12">
      <c r="A2" s="41" t="s">
        <v>1</v>
      </c>
      <c r="B2" s="5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42">
        <v>10</v>
      </c>
    </row>
    <row r="3" spans="1:12">
      <c r="A3" s="41" t="s">
        <v>3</v>
      </c>
      <c r="B3" s="6">
        <f>SUM(C3:L3)</f>
        <v>10637147</v>
      </c>
      <c r="C3" s="7">
        <v>10637147</v>
      </c>
      <c r="D3" s="7"/>
      <c r="E3" s="7"/>
      <c r="F3" s="7"/>
      <c r="G3" s="7"/>
      <c r="H3" s="7"/>
      <c r="I3" s="7"/>
      <c r="J3" s="7"/>
      <c r="K3" s="7"/>
      <c r="L3" s="43"/>
    </row>
    <row r="4" spans="1:12">
      <c r="A4" s="41" t="s">
        <v>4</v>
      </c>
      <c r="B4" s="6"/>
      <c r="C4" s="6">
        <f t="shared" ref="C4:L4" si="1">C14+C28+C39</f>
        <v>7363045.0928000007</v>
      </c>
      <c r="D4" s="6">
        <f t="shared" si="1"/>
        <v>15996043.824482841</v>
      </c>
      <c r="E4" s="6">
        <f t="shared" si="1"/>
        <v>26088205.926510938</v>
      </c>
      <c r="F4" s="6">
        <f t="shared" si="1"/>
        <v>37890664.691805243</v>
      </c>
      <c r="G4" s="6">
        <f t="shared" si="1"/>
        <v>51697998.873849645</v>
      </c>
      <c r="H4" s="6">
        <f t="shared" si="1"/>
        <v>67855759.903156832</v>
      </c>
      <c r="I4" s="6">
        <f t="shared" si="1"/>
        <v>86769303.808261707</v>
      </c>
      <c r="J4" s="6">
        <f t="shared" si="1"/>
        <v>108914154.01599009</v>
      </c>
      <c r="K4" s="6">
        <f t="shared" si="1"/>
        <v>134848160.41528472</v>
      </c>
      <c r="L4" s="44">
        <f t="shared" si="1"/>
        <v>165225766.0758206</v>
      </c>
    </row>
    <row r="5" spans="1:12">
      <c r="A5" s="60" t="s">
        <v>5</v>
      </c>
      <c r="B5" s="67"/>
      <c r="C5" s="67">
        <f>IF(ISNUMBER(C3),SUM($C$3:C3)+C14+C28+C39,B5+C16)</f>
        <v>18000192.092799999</v>
      </c>
      <c r="D5" s="67">
        <f>IF(ISNUMBER(D3),SUM($C$3:D3)+D14+D28+D39,C5+D16)</f>
        <v>18532049.4428</v>
      </c>
      <c r="E5" s="67">
        <f>IF(ISNUMBER(E3),SUM($C$3:E3)+E14+E28+E39,D5+E16)</f>
        <v>19063906.792800002</v>
      </c>
      <c r="F5" s="67">
        <f>IF(ISNUMBER(F3),SUM($C$3:F3)+F14+F28+F39,E5+F16)</f>
        <v>19595764.142800003</v>
      </c>
      <c r="G5" s="67">
        <f>IF(ISNUMBER(G3),SUM($C$3:G3)+G14+G28+G39,F5+G16)</f>
        <v>20127621.492800005</v>
      </c>
      <c r="H5" s="67">
        <f>IF(ISNUMBER(H3),SUM($C$3:H3)+H14+H28+H39,G5+H16)</f>
        <v>20659478.842800006</v>
      </c>
      <c r="I5" s="67">
        <f>IF(ISNUMBER(I3),SUM($C$3:I3)+I14+I28+I39,H5+I16)</f>
        <v>21191336.192800008</v>
      </c>
      <c r="J5" s="67">
        <f>IF(ISNUMBER(J3),SUM($C$3:J3)+J14+J28+J39,I5+J16)</f>
        <v>21723193.542800009</v>
      </c>
      <c r="K5" s="67">
        <f>IF(ISNUMBER(K3),SUM($C$3:K3)+K14+K28+K39,J5+K16)</f>
        <v>22255050.892800011</v>
      </c>
      <c r="L5" s="68">
        <f>IF(ISNUMBER(L3),SUM($C$3:L3)+L14+L28+L39,K5+L16)</f>
        <v>22786908.242800012</v>
      </c>
    </row>
    <row r="6" spans="1:1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85" t="s">
        <v>6</v>
      </c>
      <c r="B7" s="86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41" t="s">
        <v>7</v>
      </c>
      <c r="B8" s="69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41" t="s">
        <v>9</v>
      </c>
      <c r="B9" s="69" t="s">
        <v>10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>
      <c r="A10" s="70" t="s">
        <v>11</v>
      </c>
      <c r="B10" s="71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85" t="s">
        <v>12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6"/>
    </row>
    <row r="13" spans="1:12">
      <c r="A13" s="41" t="s">
        <v>13</v>
      </c>
      <c r="B13" s="6">
        <f t="shared" ref="B13:B17" si="2">SUM(C13:L13)</f>
        <v>50000</v>
      </c>
      <c r="C13" s="7">
        <v>5000</v>
      </c>
      <c r="D13" s="7">
        <v>5000</v>
      </c>
      <c r="E13" s="7">
        <v>5000</v>
      </c>
      <c r="F13" s="7">
        <v>5000</v>
      </c>
      <c r="G13" s="7">
        <v>5000</v>
      </c>
      <c r="H13" s="7">
        <v>5000</v>
      </c>
      <c r="I13" s="7">
        <v>5000</v>
      </c>
      <c r="J13" s="7">
        <v>5000</v>
      </c>
      <c r="K13" s="7">
        <v>5000</v>
      </c>
      <c r="L13" s="43">
        <v>5000</v>
      </c>
    </row>
    <row r="14" spans="1:12">
      <c r="A14" s="41" t="s">
        <v>14</v>
      </c>
      <c r="B14" s="9" t="s">
        <v>15</v>
      </c>
      <c r="C14" s="6">
        <f>SUM($C$13:C13)</f>
        <v>5000</v>
      </c>
      <c r="D14" s="6">
        <f>SUM($C$13:D13)</f>
        <v>10000</v>
      </c>
      <c r="E14" s="6">
        <f>SUM($C$13:E13)</f>
        <v>15000</v>
      </c>
      <c r="F14" s="6">
        <f>SUM($C$13:F13)</f>
        <v>20000</v>
      </c>
      <c r="G14" s="6">
        <f>SUM($C$13:G13)</f>
        <v>25000</v>
      </c>
      <c r="H14" s="6">
        <f>SUM($C$13:H13)</f>
        <v>30000</v>
      </c>
      <c r="I14" s="6">
        <f>SUM($C$13:I13)</f>
        <v>35000</v>
      </c>
      <c r="J14" s="6">
        <f>SUM($C$13:J13)</f>
        <v>40000</v>
      </c>
      <c r="K14" s="6">
        <f>SUM($C$13:K13)</f>
        <v>45000</v>
      </c>
      <c r="L14" s="44">
        <f>SUM($C$13:L13)</f>
        <v>50000</v>
      </c>
    </row>
    <row r="15" spans="1:12">
      <c r="A15" s="41" t="s">
        <v>16</v>
      </c>
      <c r="B15" s="18">
        <v>0.05</v>
      </c>
      <c r="C15" s="10"/>
      <c r="D15" s="11"/>
      <c r="E15" s="11"/>
      <c r="F15" s="11"/>
      <c r="G15" s="11"/>
      <c r="H15" s="11"/>
      <c r="I15" s="11"/>
      <c r="J15" s="11"/>
      <c r="K15" s="11"/>
      <c r="L15" s="83"/>
    </row>
    <row r="16" spans="1:12">
      <c r="A16" s="41" t="s">
        <v>17</v>
      </c>
      <c r="B16" s="6">
        <f t="shared" si="2"/>
        <v>4786716.1499999994</v>
      </c>
      <c r="C16" s="6" t="str">
        <f t="shared" ref="C16:L16" si="3">IF(ISNUMBER(C3),"",$B$15*$B$3)</f>
        <v/>
      </c>
      <c r="D16" s="6">
        <f t="shared" si="3"/>
        <v>531857.35</v>
      </c>
      <c r="E16" s="6">
        <f t="shared" si="3"/>
        <v>531857.35</v>
      </c>
      <c r="F16" s="6">
        <f t="shared" si="3"/>
        <v>531857.35</v>
      </c>
      <c r="G16" s="6">
        <f t="shared" si="3"/>
        <v>531857.35</v>
      </c>
      <c r="H16" s="6">
        <f t="shared" si="3"/>
        <v>531857.35</v>
      </c>
      <c r="I16" s="6">
        <f t="shared" si="3"/>
        <v>531857.35</v>
      </c>
      <c r="J16" s="6">
        <f t="shared" si="3"/>
        <v>531857.35</v>
      </c>
      <c r="K16" s="6">
        <f t="shared" si="3"/>
        <v>531857.35</v>
      </c>
      <c r="L16" s="44">
        <f t="shared" si="3"/>
        <v>531857.35</v>
      </c>
    </row>
    <row r="17" spans="1:20">
      <c r="A17" s="41" t="s">
        <v>18</v>
      </c>
      <c r="B17" s="6">
        <f t="shared" si="2"/>
        <v>12000</v>
      </c>
      <c r="C17" s="7"/>
      <c r="D17" s="7"/>
      <c r="E17" s="7">
        <v>1500</v>
      </c>
      <c r="F17" s="7">
        <v>1500</v>
      </c>
      <c r="G17" s="7">
        <v>1500</v>
      </c>
      <c r="H17" s="7">
        <v>1500</v>
      </c>
      <c r="I17" s="7">
        <v>1500</v>
      </c>
      <c r="J17" s="7">
        <v>1500</v>
      </c>
      <c r="K17" s="7">
        <v>1500</v>
      </c>
      <c r="L17" s="43">
        <v>1500</v>
      </c>
    </row>
    <row r="18" spans="1:20">
      <c r="A18" s="60" t="s">
        <v>19</v>
      </c>
      <c r="B18" s="64" t="s">
        <v>15</v>
      </c>
      <c r="C18" s="67">
        <f>SUM($C$16:C16)+SUM($C$17:C17)</f>
        <v>0</v>
      </c>
      <c r="D18" s="67">
        <f>SUM($C$16:D16)+SUM($C$17:D17)</f>
        <v>531857.35</v>
      </c>
      <c r="E18" s="67">
        <f>SUM($C$16:E16)+SUM($C$17:E17)</f>
        <v>1065214.7</v>
      </c>
      <c r="F18" s="67">
        <f>SUM($C$16:F16)+SUM($C$17:F17)</f>
        <v>1598572.0499999998</v>
      </c>
      <c r="G18" s="67">
        <f>SUM($C$16:G16)+SUM($C$17:G17)</f>
        <v>2131929.4</v>
      </c>
      <c r="H18" s="67">
        <f>SUM($C$16:H16)+SUM($C$17:H17)</f>
        <v>2665286.75</v>
      </c>
      <c r="I18" s="67">
        <f>SUM($C$16:I16)+SUM($C$17:I17)</f>
        <v>3198644.1</v>
      </c>
      <c r="J18" s="67">
        <f>SUM($C$16:J16)+SUM($C$17:J17)</f>
        <v>3732001.45</v>
      </c>
      <c r="K18" s="67">
        <f>SUM($C$16:K16)+SUM($C$17:K17)</f>
        <v>4265358.8</v>
      </c>
      <c r="L18" s="68">
        <f>SUM($C$16:L16)+SUM($C$17:L17)</f>
        <v>4798716.1499999994</v>
      </c>
    </row>
    <row r="19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20" ht="15">
      <c r="A20" s="88" t="s">
        <v>9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90"/>
    </row>
    <row r="21" spans="1:20">
      <c r="A21" s="41" t="s">
        <v>20</v>
      </c>
      <c r="B21" s="18">
        <v>9.6600000000000005E-2</v>
      </c>
      <c r="C21" s="13"/>
      <c r="D21" s="14"/>
      <c r="E21" s="14"/>
      <c r="F21" s="14"/>
      <c r="G21" s="14"/>
      <c r="H21" s="14"/>
      <c r="I21" s="14"/>
      <c r="J21" s="14"/>
      <c r="K21" s="14"/>
      <c r="L21" s="81"/>
    </row>
    <row r="22" spans="1:20">
      <c r="A22" s="41" t="s">
        <v>21</v>
      </c>
      <c r="B22" s="18">
        <v>7.0000000000000007E-2</v>
      </c>
      <c r="C22" s="15"/>
      <c r="D22" s="16"/>
      <c r="E22" s="16"/>
      <c r="F22" s="16"/>
      <c r="G22" s="16"/>
      <c r="H22" s="16"/>
      <c r="I22" s="16"/>
      <c r="J22" s="16"/>
      <c r="K22" s="16"/>
      <c r="L22" s="82"/>
    </row>
    <row r="23" spans="1:20">
      <c r="A23" s="41" t="s">
        <v>22</v>
      </c>
      <c r="B23" s="12">
        <f>(IFERROR(ROUND(AVERAGE(C23:L23),1),""))</f>
        <v>6557</v>
      </c>
      <c r="C23" s="17">
        <v>6557</v>
      </c>
      <c r="D23" s="17">
        <v>6557</v>
      </c>
      <c r="E23" s="17">
        <v>6557</v>
      </c>
      <c r="F23" s="17">
        <v>6557</v>
      </c>
      <c r="G23" s="17">
        <v>6557</v>
      </c>
      <c r="H23" s="17">
        <v>6557</v>
      </c>
      <c r="I23" s="17">
        <v>6557</v>
      </c>
      <c r="J23" s="17">
        <v>6557</v>
      </c>
      <c r="K23" s="17">
        <v>6557</v>
      </c>
      <c r="L23" s="17">
        <v>6557</v>
      </c>
    </row>
    <row r="24" spans="1:20">
      <c r="A24" s="41" t="s">
        <v>23</v>
      </c>
      <c r="B24" s="8">
        <f>(IFERROR(ROUND(AVERAGE(C24:L24),2),""))</f>
        <v>0.8</v>
      </c>
      <c r="C24" s="18">
        <v>0.8</v>
      </c>
      <c r="D24" s="18">
        <v>0.8</v>
      </c>
      <c r="E24" s="18">
        <v>0.8</v>
      </c>
      <c r="F24" s="18">
        <v>0.8</v>
      </c>
      <c r="G24" s="18">
        <v>0.8</v>
      </c>
      <c r="H24" s="18">
        <v>0.8</v>
      </c>
      <c r="I24" s="18">
        <v>0.8</v>
      </c>
      <c r="J24" s="18">
        <v>0.8</v>
      </c>
      <c r="K24" s="18">
        <v>0.8</v>
      </c>
      <c r="L24" s="18">
        <v>0.8</v>
      </c>
    </row>
    <row r="25" spans="1:20">
      <c r="A25" s="41" t="s">
        <v>24</v>
      </c>
      <c r="B25" s="6">
        <f t="shared" ref="B25" si="4">(IFERROR(ROUND(AVERAGE(C25:L25),1),""))</f>
        <v>3537.3</v>
      </c>
      <c r="C25" s="7">
        <v>2255.9699999999998</v>
      </c>
      <c r="D25" s="6">
        <f t="shared" ref="D25:L25" si="5">C25*(1+$B$21)</f>
        <v>2473.896702</v>
      </c>
      <c r="E25" s="6">
        <f t="shared" si="5"/>
        <v>2712.8751234132001</v>
      </c>
      <c r="F25" s="6">
        <f t="shared" si="5"/>
        <v>2974.9388603349153</v>
      </c>
      <c r="G25" s="6">
        <f t="shared" si="5"/>
        <v>3262.3179542432681</v>
      </c>
      <c r="H25" s="6">
        <f t="shared" si="5"/>
        <v>3577.457868623168</v>
      </c>
      <c r="I25" s="6">
        <f t="shared" si="5"/>
        <v>3923.0402987321663</v>
      </c>
      <c r="J25" s="6">
        <f t="shared" si="5"/>
        <v>4302.0059915896936</v>
      </c>
      <c r="K25" s="6">
        <f t="shared" si="5"/>
        <v>4717.5797703772578</v>
      </c>
      <c r="L25" s="44">
        <f t="shared" si="5"/>
        <v>5173.2979761957013</v>
      </c>
    </row>
    <row r="26" spans="1:20">
      <c r="A26" s="41" t="s">
        <v>25</v>
      </c>
      <c r="B26" s="8">
        <f>(IFERROR(ROUND(AVERAGE(C26:L26),2),""))</f>
        <v>7.0000000000000007E-2</v>
      </c>
      <c r="C26" s="18">
        <v>0.05</v>
      </c>
      <c r="D26" s="8">
        <f t="shared" ref="D26:L26" si="6">C26*(1+$B$22)</f>
        <v>5.3500000000000006E-2</v>
      </c>
      <c r="E26" s="8">
        <f t="shared" si="6"/>
        <v>5.7245000000000011E-2</v>
      </c>
      <c r="F26" s="8">
        <f t="shared" si="6"/>
        <v>6.1252150000000012E-2</v>
      </c>
      <c r="G26" s="8">
        <f t="shared" si="6"/>
        <v>6.5539800500000023E-2</v>
      </c>
      <c r="H26" s="8">
        <f t="shared" si="6"/>
        <v>7.0127586535000022E-2</v>
      </c>
      <c r="I26" s="8">
        <f t="shared" si="6"/>
        <v>7.5036517592450031E-2</v>
      </c>
      <c r="J26" s="8">
        <f t="shared" si="6"/>
        <v>8.0289073823921531E-2</v>
      </c>
      <c r="K26" s="8">
        <f t="shared" si="6"/>
        <v>8.5909308991596045E-2</v>
      </c>
      <c r="L26" s="79">
        <f t="shared" si="6"/>
        <v>9.1922960621007771E-2</v>
      </c>
    </row>
    <row r="27" spans="1:20">
      <c r="A27" s="41" t="s">
        <v>26</v>
      </c>
      <c r="B27" s="6">
        <f t="shared" ref="B27" si="7">SUM(C27:L27)</f>
        <v>161646288.83521748</v>
      </c>
      <c r="C27" s="6">
        <f t="shared" ref="C27:L27" si="8">C23*12*C24*C26*C25</f>
        <v>7100349.7392000007</v>
      </c>
      <c r="D27" s="6">
        <f t="shared" si="8"/>
        <v>8331280.5706871916</v>
      </c>
      <c r="E27" s="6">
        <f t="shared" si="8"/>
        <v>9775608.032982666</v>
      </c>
      <c r="F27" s="6">
        <f t="shared" si="8"/>
        <v>11470326.992796607</v>
      </c>
      <c r="G27" s="6">
        <f t="shared" si="8"/>
        <v>13458845.820921814</v>
      </c>
      <c r="H27" s="6">
        <f t="shared" si="8"/>
        <v>15792098.250128465</v>
      </c>
      <c r="I27" s="6">
        <f t="shared" si="8"/>
        <v>18529847.986967236</v>
      </c>
      <c r="J27" s="6">
        <f t="shared" si="8"/>
        <v>21742219.493683849</v>
      </c>
      <c r="K27" s="6">
        <f t="shared" si="8"/>
        <v>25511494.149547871</v>
      </c>
      <c r="L27" s="44">
        <f t="shared" si="8"/>
        <v>29934217.79830179</v>
      </c>
    </row>
    <row r="28" spans="1:20">
      <c r="A28" s="60" t="s">
        <v>27</v>
      </c>
      <c r="B28" s="80" t="s">
        <v>28</v>
      </c>
      <c r="C28" s="67">
        <f>SUM($C$27:C27)</f>
        <v>7100349.7392000007</v>
      </c>
      <c r="D28" s="67">
        <f>SUM($C$27:D27)</f>
        <v>15431630.309887193</v>
      </c>
      <c r="E28" s="67">
        <f>SUM($C$27:E27)</f>
        <v>25207238.342869859</v>
      </c>
      <c r="F28" s="67">
        <f>SUM($C$27:F27)</f>
        <v>36677565.335666463</v>
      </c>
      <c r="G28" s="67">
        <f>SUM($C$27:G27)</f>
        <v>50136411.156588279</v>
      </c>
      <c r="H28" s="67">
        <f>SUM($C$27:H27)</f>
        <v>65928509.406716742</v>
      </c>
      <c r="I28" s="67">
        <f>SUM($C$27:I27)</f>
        <v>84458357.39368397</v>
      </c>
      <c r="J28" s="67">
        <f>SUM($C$27:J27)</f>
        <v>106200576.88736781</v>
      </c>
      <c r="K28" s="67">
        <f>SUM($C$27:K27)</f>
        <v>131712071.03691569</v>
      </c>
      <c r="L28" s="68">
        <f>SUM($C$27:L27)</f>
        <v>161646288.83521748</v>
      </c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20" ht="15">
      <c r="A30" s="88" t="s">
        <v>11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0"/>
      <c r="T30" s="84"/>
    </row>
    <row r="31" spans="1:20" ht="15">
      <c r="A31" s="47" t="s">
        <v>29</v>
      </c>
      <c r="B31" s="24">
        <v>0.05</v>
      </c>
      <c r="C31" s="19"/>
      <c r="D31" s="20"/>
      <c r="E31" s="20"/>
      <c r="F31" s="20"/>
      <c r="G31" s="20"/>
      <c r="H31" s="20"/>
      <c r="I31" s="20"/>
      <c r="J31" s="20"/>
      <c r="K31" s="20"/>
      <c r="L31" s="76"/>
      <c r="T31" s="84"/>
    </row>
    <row r="32" spans="1:20" ht="15">
      <c r="A32" s="47" t="s">
        <v>30</v>
      </c>
      <c r="B32" s="25">
        <v>18.28</v>
      </c>
      <c r="C32" s="21"/>
      <c r="D32" s="3"/>
      <c r="E32" s="3"/>
      <c r="F32" s="3"/>
      <c r="G32" s="3"/>
      <c r="H32" s="3"/>
      <c r="I32" s="3"/>
      <c r="J32" s="3"/>
      <c r="K32" s="3"/>
      <c r="L32" s="77"/>
      <c r="T32" s="84"/>
    </row>
    <row r="33" spans="1:20" ht="15">
      <c r="A33" s="47" t="s">
        <v>31</v>
      </c>
      <c r="B33" s="24">
        <v>9.6600000000000005E-2</v>
      </c>
      <c r="C33" s="22"/>
      <c r="D33" s="23"/>
      <c r="E33" s="23"/>
      <c r="F33" s="23"/>
      <c r="G33" s="23"/>
      <c r="H33" s="23"/>
      <c r="I33" s="23"/>
      <c r="J33" s="23"/>
      <c r="K33" s="23"/>
      <c r="L33" s="78"/>
      <c r="T33" s="84"/>
    </row>
    <row r="34" spans="1:20">
      <c r="A34" s="41" t="s">
        <v>32</v>
      </c>
      <c r="B34" s="12">
        <f>(IFERROR(ROUND(AVERAGE(C34:L34),1),""))</f>
        <v>29369</v>
      </c>
      <c r="C34" s="17">
        <v>29369</v>
      </c>
      <c r="D34" s="17">
        <v>29369</v>
      </c>
      <c r="E34" s="17">
        <v>29369</v>
      </c>
      <c r="F34" s="17">
        <v>29369</v>
      </c>
      <c r="G34" s="17">
        <v>29369</v>
      </c>
      <c r="H34" s="17">
        <v>29369</v>
      </c>
      <c r="I34" s="17">
        <v>29369</v>
      </c>
      <c r="J34" s="17">
        <v>29369</v>
      </c>
      <c r="K34" s="17">
        <v>29369</v>
      </c>
      <c r="L34" s="17">
        <v>29369</v>
      </c>
    </row>
    <row r="35" spans="1:20">
      <c r="A35" s="41" t="s">
        <v>33</v>
      </c>
      <c r="B35" s="26">
        <f t="shared" ref="B35" si="9">(IFERROR(ROUND(AVERAGE(C35:L35),1),""))</f>
        <v>450</v>
      </c>
      <c r="C35" s="17">
        <v>450</v>
      </c>
      <c r="D35" s="17">
        <v>450</v>
      </c>
      <c r="E35" s="17">
        <v>450</v>
      </c>
      <c r="F35" s="17">
        <v>450</v>
      </c>
      <c r="G35" s="17">
        <v>450</v>
      </c>
      <c r="H35" s="17">
        <v>450</v>
      </c>
      <c r="I35" s="17">
        <v>450</v>
      </c>
      <c r="J35" s="17">
        <v>450</v>
      </c>
      <c r="K35" s="17">
        <v>450</v>
      </c>
      <c r="L35" s="17">
        <v>450</v>
      </c>
    </row>
    <row r="36" spans="1:20">
      <c r="A36" s="41" t="s">
        <v>34</v>
      </c>
      <c r="B36" s="8">
        <f>(IFERROR(ROUND(AVERAGE(C36:L36),2),""))</f>
        <v>0.1</v>
      </c>
      <c r="C36" s="18">
        <v>0.08</v>
      </c>
      <c r="D36" s="8">
        <f>C36*(1+$B$31)</f>
        <v>8.4000000000000005E-2</v>
      </c>
      <c r="E36" s="8">
        <f t="shared" ref="E36:L36" si="10">D36*(1+$B$31)</f>
        <v>8.8200000000000014E-2</v>
      </c>
      <c r="F36" s="8">
        <f t="shared" si="10"/>
        <v>9.2610000000000026E-2</v>
      </c>
      <c r="G36" s="8">
        <f t="shared" si="10"/>
        <v>9.7240500000000035E-2</v>
      </c>
      <c r="H36" s="8">
        <f t="shared" si="10"/>
        <v>0.10210252500000004</v>
      </c>
      <c r="I36" s="8">
        <f t="shared" si="10"/>
        <v>0.10720765125000005</v>
      </c>
      <c r="J36" s="8">
        <f t="shared" si="10"/>
        <v>0.11256803381250005</v>
      </c>
      <c r="K36" s="8">
        <f t="shared" si="10"/>
        <v>0.11819643550312506</v>
      </c>
      <c r="L36" s="79">
        <f t="shared" si="10"/>
        <v>0.12410625727828131</v>
      </c>
    </row>
    <row r="37" spans="1:20">
      <c r="A37" s="41" t="s">
        <v>35</v>
      </c>
      <c r="B37" s="8">
        <f>(IFERROR(ROUND(AVERAGE(C37:L37),2),""))</f>
        <v>0.8</v>
      </c>
      <c r="C37" s="18">
        <v>0.8</v>
      </c>
      <c r="D37" s="18">
        <v>0.8</v>
      </c>
      <c r="E37" s="18">
        <v>0.8</v>
      </c>
      <c r="F37" s="18">
        <v>0.8</v>
      </c>
      <c r="G37" s="18">
        <v>0.8</v>
      </c>
      <c r="H37" s="18">
        <v>0.8</v>
      </c>
      <c r="I37" s="18">
        <v>0.8</v>
      </c>
      <c r="J37" s="18">
        <v>0.8</v>
      </c>
      <c r="K37" s="18">
        <v>0.8</v>
      </c>
      <c r="L37" s="18">
        <v>0.8</v>
      </c>
    </row>
    <row r="38" spans="1:20">
      <c r="A38" s="41" t="s">
        <v>36</v>
      </c>
      <c r="B38" s="6">
        <f t="shared" ref="B38" si="11">SUM(C38:L38)</f>
        <v>3529477.2406031336</v>
      </c>
      <c r="C38" s="6">
        <f>$B$32/60*C34*C35*C36*C37</f>
        <v>257695.35360000003</v>
      </c>
      <c r="D38" s="6">
        <f t="shared" ref="D38:L38" si="12">$B$32*(1+$B$33)/60*D34*D35*D36*D37</f>
        <v>296718.16099564807</v>
      </c>
      <c r="E38" s="6">
        <f t="shared" si="12"/>
        <v>311554.06904543051</v>
      </c>
      <c r="F38" s="6">
        <f t="shared" si="12"/>
        <v>327131.7724977021</v>
      </c>
      <c r="G38" s="6">
        <f t="shared" si="12"/>
        <v>343488.36112258723</v>
      </c>
      <c r="H38" s="6">
        <f t="shared" si="12"/>
        <v>360662.77917871659</v>
      </c>
      <c r="I38" s="6">
        <f t="shared" si="12"/>
        <v>378695.91813765245</v>
      </c>
      <c r="J38" s="6">
        <f t="shared" si="12"/>
        <v>397630.71404453507</v>
      </c>
      <c r="K38" s="6">
        <f t="shared" si="12"/>
        <v>417512.24974676181</v>
      </c>
      <c r="L38" s="44">
        <f t="shared" si="12"/>
        <v>438387.86223409988</v>
      </c>
    </row>
    <row r="39" spans="1:20">
      <c r="A39" s="60" t="s">
        <v>37</v>
      </c>
      <c r="B39" s="80" t="s">
        <v>15</v>
      </c>
      <c r="C39" s="67">
        <f>SUM($C$38:C38)</f>
        <v>257695.35360000003</v>
      </c>
      <c r="D39" s="67">
        <f>SUM($C$38:D38)</f>
        <v>554413.51459564804</v>
      </c>
      <c r="E39" s="67">
        <f>SUM($C$38:E38)</f>
        <v>865967.58364107856</v>
      </c>
      <c r="F39" s="67">
        <f>SUM($C$38:F38)</f>
        <v>1193099.3561387807</v>
      </c>
      <c r="G39" s="67">
        <f>SUM($C$38:G38)</f>
        <v>1536587.7172613679</v>
      </c>
      <c r="H39" s="67">
        <f>SUM($C$38:H38)</f>
        <v>1897250.4964400847</v>
      </c>
      <c r="I39" s="67">
        <f>SUM($C$38:I38)</f>
        <v>2275946.414577737</v>
      </c>
      <c r="J39" s="67">
        <f>SUM($C$38:J38)</f>
        <v>2673577.1286222721</v>
      </c>
      <c r="K39" s="67">
        <f>SUM($C$38:K38)</f>
        <v>3091089.3783690338</v>
      </c>
      <c r="L39" s="68">
        <f>SUM($C$38:L38)</f>
        <v>3529477.2406031336</v>
      </c>
    </row>
    <row r="41" spans="1:20"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0"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4">
    <mergeCell ref="A7:B7"/>
    <mergeCell ref="A12:L12"/>
    <mergeCell ref="A20:L20"/>
    <mergeCell ref="A30:L30"/>
  </mergeCells>
  <conditionalFormatting sqref="A12:L18">
    <cfRule type="expression" dxfId="7" priority="4">
      <formula>$B$8="NIE"</formula>
    </cfRule>
  </conditionalFormatting>
  <conditionalFormatting sqref="A20:L28">
    <cfRule type="expression" dxfId="6" priority="3">
      <formula>$B$9="NIE"</formula>
    </cfRule>
  </conditionalFormatting>
  <conditionalFormatting sqref="A30:L39">
    <cfRule type="expression" dxfId="5" priority="2">
      <formula>$B$10="NIE"</formula>
    </cfRule>
  </conditionalFormatting>
  <conditionalFormatting sqref="C1:L1">
    <cfRule type="containsText" dxfId="4" priority="1" operator="containsText" text="navrat">
      <formula>NOT(ISERROR(SEARCH("navrat",C1)))</formula>
    </cfRule>
  </conditionalFormatting>
  <dataValidations count="1">
    <dataValidation type="list" allowBlank="1" showInputMessage="1" showErrorMessage="1" sqref="B8:B10" xr:uid="{00000000-0002-0000-0100-000000000000}">
      <formula1>"ANO,NIE"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workbookViewId="0">
      <pane ySplit="10" topLeftCell="A11" activePane="bottomLeft" state="frozen"/>
      <selection pane="bottomLeft" activeCell="D19" sqref="D19"/>
    </sheetView>
  </sheetViews>
  <sheetFormatPr defaultColWidth="9" defaultRowHeight="12.75"/>
  <cols>
    <col min="1" max="1" width="40.85546875" bestFit="1" customWidth="1"/>
    <col min="2" max="2" width="14.5703125" bestFit="1" customWidth="1"/>
    <col min="3" max="12" width="11.42578125" customWidth="1"/>
  </cols>
  <sheetData>
    <row r="1" spans="1:12">
      <c r="A1" s="37" t="s">
        <v>0</v>
      </c>
      <c r="B1" s="38"/>
      <c r="C1" s="39" t="str">
        <f>IF(C5&lt;C4,"NAVRAT","")</f>
        <v>NAVRAT</v>
      </c>
      <c r="D1" s="39" t="str">
        <f t="shared" ref="D1:L1" si="0">IF(D5&lt;D4,"NAVRAT","")</f>
        <v>NAVRAT</v>
      </c>
      <c r="E1" s="39" t="str">
        <f t="shared" si="0"/>
        <v>NAVRAT</v>
      </c>
      <c r="F1" s="39" t="str">
        <f t="shared" si="0"/>
        <v>NAVRAT</v>
      </c>
      <c r="G1" s="39" t="str">
        <f t="shared" si="0"/>
        <v>NAVRAT</v>
      </c>
      <c r="H1" s="39" t="str">
        <f t="shared" si="0"/>
        <v>NAVRAT</v>
      </c>
      <c r="I1" s="39" t="str">
        <f t="shared" si="0"/>
        <v>NAVRAT</v>
      </c>
      <c r="J1" s="39" t="str">
        <f t="shared" si="0"/>
        <v>NAVRAT</v>
      </c>
      <c r="K1" s="39" t="str">
        <f t="shared" si="0"/>
        <v>NAVRAT</v>
      </c>
      <c r="L1" s="40" t="str">
        <f t="shared" si="0"/>
        <v>NAVRAT</v>
      </c>
    </row>
    <row r="2" spans="1:12">
      <c r="A2" s="41" t="s">
        <v>1</v>
      </c>
      <c r="B2" s="5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42">
        <v>10</v>
      </c>
    </row>
    <row r="3" spans="1:12">
      <c r="A3" s="41" t="s">
        <v>3</v>
      </c>
      <c r="B3" s="6">
        <f>SUM(C3:L3)</f>
        <v>0</v>
      </c>
      <c r="C3" s="7"/>
      <c r="D3" s="7"/>
      <c r="E3" s="7"/>
      <c r="F3" s="7"/>
      <c r="G3" s="7"/>
      <c r="H3" s="7"/>
      <c r="I3" s="7"/>
      <c r="J3" s="7"/>
      <c r="K3" s="7"/>
      <c r="L3" s="43"/>
    </row>
    <row r="4" spans="1:12">
      <c r="A4" s="41" t="s">
        <v>38</v>
      </c>
      <c r="B4" s="6"/>
      <c r="C4" s="6">
        <f t="shared" ref="C4:L4" si="1">C26+C39+C45</f>
        <v>32550</v>
      </c>
      <c r="D4" s="6">
        <f t="shared" si="1"/>
        <v>66701.25</v>
      </c>
      <c r="E4" s="6">
        <f t="shared" si="1"/>
        <v>102533.15625</v>
      </c>
      <c r="F4" s="6">
        <f t="shared" si="1"/>
        <v>140129.07890625001</v>
      </c>
      <c r="G4" s="6">
        <f t="shared" si="1"/>
        <v>179576.52931640626</v>
      </c>
      <c r="H4" s="6">
        <f t="shared" si="1"/>
        <v>220967.37715869141</v>
      </c>
      <c r="I4" s="6">
        <f t="shared" si="1"/>
        <v>264398.06792750244</v>
      </c>
      <c r="J4" s="6">
        <f t="shared" si="1"/>
        <v>309969.85128252598</v>
      </c>
      <c r="K4" s="6">
        <f t="shared" si="1"/>
        <v>357789.02080426691</v>
      </c>
      <c r="L4" s="44">
        <f t="shared" si="1"/>
        <v>407967.16572603519</v>
      </c>
    </row>
    <row r="5" spans="1:12">
      <c r="A5" s="60" t="s">
        <v>39</v>
      </c>
      <c r="B5" s="67"/>
      <c r="C5" s="67">
        <f>C27+C40+C46+SUM($C$3:C3)</f>
        <v>13500</v>
      </c>
      <c r="D5" s="67">
        <f>D27+D40+D46+SUM($C$3:D3)</f>
        <v>27944.15625</v>
      </c>
      <c r="E5" s="67">
        <f>E27+E40+E46+SUM($C$3:E3)</f>
        <v>43398.851203124999</v>
      </c>
      <c r="F5" s="67">
        <f>F27+F40+F46+SUM($C$3:F3)</f>
        <v>59935.150771523447</v>
      </c>
      <c r="G5" s="67">
        <f>G27+G40+G46+SUM($C$3:G3)</f>
        <v>77629.135500828619</v>
      </c>
      <c r="H5" s="67">
        <f>H27+H40+H46+SUM($C$3:H3)</f>
        <v>96562.25519653043</v>
      </c>
      <c r="I5" s="67">
        <f>I27+I40+I46+SUM($C$3:I3)</f>
        <v>116821.70866454608</v>
      </c>
      <c r="J5" s="67">
        <f>J27+J40+J46+SUM($C$3:J3)</f>
        <v>138500.85034617316</v>
      </c>
      <c r="K5" s="67">
        <f>K27+K40+K46+SUM($C$3:K3)</f>
        <v>161699.62575386898</v>
      </c>
      <c r="L5" s="68">
        <f>L27+L40+L46+SUM($C$3:L3)</f>
        <v>186525.03774951806</v>
      </c>
    </row>
    <row r="6" spans="1:12">
      <c r="A6" s="45"/>
      <c r="B6" s="2"/>
      <c r="C6" s="2"/>
      <c r="D6" s="2"/>
      <c r="E6" s="2"/>
      <c r="F6" s="2"/>
      <c r="G6" s="2"/>
      <c r="H6" s="2"/>
      <c r="I6" s="2"/>
      <c r="J6" s="2"/>
      <c r="K6" s="2"/>
      <c r="L6" s="46"/>
    </row>
    <row r="7" spans="1:12">
      <c r="A7" s="85" t="s">
        <v>40</v>
      </c>
      <c r="B7" s="86"/>
      <c r="C7" s="2"/>
      <c r="D7" s="2"/>
      <c r="E7" s="2"/>
      <c r="F7" s="2"/>
      <c r="G7" s="2"/>
      <c r="H7" s="2"/>
      <c r="I7" s="2"/>
      <c r="J7" s="2"/>
      <c r="K7" s="2"/>
      <c r="L7" s="46"/>
    </row>
    <row r="8" spans="1:12">
      <c r="A8" s="41" t="s">
        <v>41</v>
      </c>
      <c r="B8" s="69" t="s">
        <v>8</v>
      </c>
      <c r="C8" s="2"/>
      <c r="D8" s="2"/>
      <c r="E8" s="2"/>
      <c r="F8" s="2"/>
      <c r="G8" s="2"/>
      <c r="H8" s="2"/>
      <c r="I8" s="2"/>
      <c r="J8" s="2"/>
      <c r="K8" s="2"/>
      <c r="L8" s="46"/>
    </row>
    <row r="9" spans="1:12">
      <c r="A9" s="41" t="s">
        <v>42</v>
      </c>
      <c r="B9" s="69" t="s">
        <v>8</v>
      </c>
      <c r="C9" s="2"/>
      <c r="D9" s="2"/>
      <c r="E9" s="2"/>
      <c r="F9" s="2"/>
      <c r="G9" s="2"/>
      <c r="H9" s="2"/>
      <c r="I9" s="2"/>
      <c r="J9" s="2"/>
      <c r="K9" s="2"/>
      <c r="L9" s="46"/>
    </row>
    <row r="10" spans="1:12" ht="15">
      <c r="A10" s="70" t="s">
        <v>43</v>
      </c>
      <c r="B10" s="71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46"/>
    </row>
    <row r="11" spans="1:12">
      <c r="A11" s="45"/>
      <c r="B11" s="2"/>
      <c r="C11" s="2"/>
      <c r="D11" s="2"/>
      <c r="E11" s="2"/>
      <c r="F11" s="2"/>
      <c r="G11" s="2"/>
      <c r="H11" s="2"/>
      <c r="I11" s="2"/>
      <c r="J11" s="2"/>
      <c r="K11" s="2"/>
      <c r="L11" s="46"/>
    </row>
    <row r="12" spans="1:12">
      <c r="A12" s="85" t="s">
        <v>44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6"/>
    </row>
    <row r="13" spans="1:12">
      <c r="A13" s="48" t="s">
        <v>45</v>
      </c>
      <c r="B13" s="26">
        <f>SUM(C13:L13)</f>
        <v>1500</v>
      </c>
      <c r="C13" s="28">
        <v>150</v>
      </c>
      <c r="D13" s="28">
        <v>150</v>
      </c>
      <c r="E13" s="28">
        <v>150</v>
      </c>
      <c r="F13" s="28">
        <v>150</v>
      </c>
      <c r="G13" s="28">
        <v>150</v>
      </c>
      <c r="H13" s="28">
        <v>150</v>
      </c>
      <c r="I13" s="28">
        <v>150</v>
      </c>
      <c r="J13" s="28">
        <v>150</v>
      </c>
      <c r="K13" s="28">
        <v>150</v>
      </c>
      <c r="L13" s="49">
        <v>150</v>
      </c>
    </row>
    <row r="14" spans="1:12">
      <c r="A14" s="72" t="s">
        <v>46</v>
      </c>
      <c r="B14" s="73">
        <f>SUM(C14:L14)</f>
        <v>1642.4581499606786</v>
      </c>
      <c r="C14" s="74">
        <v>150</v>
      </c>
      <c r="D14" s="74">
        <f t="shared" ref="D14:L14" si="2">C14*1.02</f>
        <v>153</v>
      </c>
      <c r="E14" s="74">
        <f t="shared" si="2"/>
        <v>156.06</v>
      </c>
      <c r="F14" s="74">
        <f t="shared" si="2"/>
        <v>159.18120000000002</v>
      </c>
      <c r="G14" s="74">
        <f t="shared" si="2"/>
        <v>162.36482400000003</v>
      </c>
      <c r="H14" s="74">
        <f t="shared" si="2"/>
        <v>165.61212048000004</v>
      </c>
      <c r="I14" s="74">
        <f t="shared" si="2"/>
        <v>168.92436288960005</v>
      </c>
      <c r="J14" s="74">
        <f t="shared" si="2"/>
        <v>172.30285014739206</v>
      </c>
      <c r="K14" s="74">
        <f t="shared" si="2"/>
        <v>175.7489071503399</v>
      </c>
      <c r="L14" s="75">
        <f t="shared" si="2"/>
        <v>179.2638852933467</v>
      </c>
    </row>
    <row r="15" spans="1:12">
      <c r="A15" s="45"/>
      <c r="B15" s="2"/>
      <c r="C15" s="2"/>
      <c r="D15" s="2"/>
      <c r="E15" s="2"/>
      <c r="F15" s="2"/>
      <c r="G15" s="2"/>
      <c r="H15" s="2"/>
      <c r="I15" s="2"/>
      <c r="J15" s="2"/>
      <c r="K15" s="2"/>
      <c r="L15" s="46"/>
    </row>
    <row r="16" spans="1:12">
      <c r="A16" s="85" t="s">
        <v>41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6"/>
    </row>
    <row r="17" spans="1:12">
      <c r="A17" s="50" t="s">
        <v>47</v>
      </c>
      <c r="B17" s="29">
        <v>22.5</v>
      </c>
      <c r="C17" s="33">
        <f>B17</f>
        <v>22.5</v>
      </c>
      <c r="D17" s="33">
        <f>C17*(1+$B$18)</f>
        <v>23.625</v>
      </c>
      <c r="E17" s="33">
        <f t="shared" ref="E17:L17" si="3">D17*(1+$B$18)</f>
        <v>24.806250000000002</v>
      </c>
      <c r="F17" s="33">
        <f t="shared" si="3"/>
        <v>26.046562500000004</v>
      </c>
      <c r="G17" s="33">
        <f t="shared" si="3"/>
        <v>27.348890625000006</v>
      </c>
      <c r="H17" s="33">
        <f t="shared" si="3"/>
        <v>28.716335156250008</v>
      </c>
      <c r="I17" s="33">
        <f t="shared" si="3"/>
        <v>30.152151914062511</v>
      </c>
      <c r="J17" s="33">
        <f t="shared" si="3"/>
        <v>31.659759509765639</v>
      </c>
      <c r="K17" s="33">
        <f t="shared" si="3"/>
        <v>33.242747485253922</v>
      </c>
      <c r="L17" s="51">
        <f t="shared" si="3"/>
        <v>34.904884859516621</v>
      </c>
    </row>
    <row r="18" spans="1:12">
      <c r="A18" s="41" t="s">
        <v>48</v>
      </c>
      <c r="B18" s="30">
        <v>0.05</v>
      </c>
      <c r="C18" s="27"/>
      <c r="D18" s="27"/>
      <c r="E18" s="27"/>
      <c r="F18" s="27"/>
      <c r="G18" s="27"/>
      <c r="H18" s="27"/>
      <c r="I18" s="27"/>
      <c r="J18" s="27"/>
      <c r="K18" s="27"/>
      <c r="L18" s="52"/>
    </row>
    <row r="19" spans="1:12">
      <c r="A19" s="41" t="s">
        <v>49</v>
      </c>
      <c r="B19" s="30">
        <v>2.5000000000000001E-2</v>
      </c>
      <c r="C19" s="27"/>
      <c r="D19" s="27"/>
      <c r="E19" s="27"/>
      <c r="F19" s="27"/>
      <c r="G19" s="27"/>
      <c r="H19" s="27"/>
      <c r="I19" s="27"/>
      <c r="J19" s="27"/>
      <c r="K19" s="27"/>
      <c r="L19" s="52"/>
    </row>
    <row r="20" spans="1:12">
      <c r="A20" s="41" t="s">
        <v>50</v>
      </c>
      <c r="B20" s="9" t="s">
        <v>15</v>
      </c>
      <c r="C20" s="28">
        <v>5</v>
      </c>
      <c r="D20" s="28">
        <v>5</v>
      </c>
      <c r="E20" s="28">
        <v>5</v>
      </c>
      <c r="F20" s="28">
        <v>5</v>
      </c>
      <c r="G20" s="28">
        <v>5</v>
      </c>
      <c r="H20" s="28">
        <v>5</v>
      </c>
      <c r="I20" s="28">
        <v>5</v>
      </c>
      <c r="J20" s="28">
        <v>5</v>
      </c>
      <c r="K20" s="28">
        <v>5</v>
      </c>
      <c r="L20" s="49">
        <v>5</v>
      </c>
    </row>
    <row r="21" spans="1:12">
      <c r="A21" s="41" t="s">
        <v>51</v>
      </c>
      <c r="B21" s="9" t="s">
        <v>15</v>
      </c>
      <c r="C21" s="28">
        <v>1.5</v>
      </c>
      <c r="D21" s="28">
        <v>1.5</v>
      </c>
      <c r="E21" s="28">
        <v>1.5</v>
      </c>
      <c r="F21" s="28">
        <v>1.5</v>
      </c>
      <c r="G21" s="28">
        <v>1.5</v>
      </c>
      <c r="H21" s="28">
        <v>1.5</v>
      </c>
      <c r="I21" s="28">
        <v>1.5</v>
      </c>
      <c r="J21" s="28">
        <v>1.5</v>
      </c>
      <c r="K21" s="28">
        <v>1.5</v>
      </c>
      <c r="L21" s="49">
        <v>1.5</v>
      </c>
    </row>
    <row r="22" spans="1:12">
      <c r="A22" s="41" t="s">
        <v>52</v>
      </c>
      <c r="B22" s="9" t="s">
        <v>15</v>
      </c>
      <c r="C22" s="31">
        <v>2.5</v>
      </c>
      <c r="D22" s="32">
        <f>C22*(1+$B$19)</f>
        <v>2.5625</v>
      </c>
      <c r="E22" s="32">
        <f>D22*(1+$B$19)</f>
        <v>2.6265624999999999</v>
      </c>
      <c r="F22" s="32">
        <f t="shared" ref="F22:L22" si="4">E22*(1+$B$19)</f>
        <v>2.6922265624999997</v>
      </c>
      <c r="G22" s="32">
        <f t="shared" si="4"/>
        <v>2.7595322265624995</v>
      </c>
      <c r="H22" s="32">
        <f t="shared" si="4"/>
        <v>2.8285205322265616</v>
      </c>
      <c r="I22" s="32">
        <f t="shared" si="4"/>
        <v>2.8992335455322253</v>
      </c>
      <c r="J22" s="32">
        <f t="shared" si="4"/>
        <v>2.9717143841705309</v>
      </c>
      <c r="K22" s="32">
        <f t="shared" si="4"/>
        <v>3.046007243774794</v>
      </c>
      <c r="L22" s="53">
        <f t="shared" si="4"/>
        <v>3.1221574248691635</v>
      </c>
    </row>
    <row r="23" spans="1:12">
      <c r="A23" s="41" t="s">
        <v>53</v>
      </c>
      <c r="B23" s="9" t="s">
        <v>15</v>
      </c>
      <c r="C23" s="31">
        <v>1.25</v>
      </c>
      <c r="D23" s="32">
        <f t="shared" ref="D23:L23" si="5">C23*(1+$B$19)</f>
        <v>1.28125</v>
      </c>
      <c r="E23" s="32">
        <f t="shared" si="5"/>
        <v>1.31328125</v>
      </c>
      <c r="F23" s="32">
        <f t="shared" si="5"/>
        <v>1.3461132812499998</v>
      </c>
      <c r="G23" s="32">
        <f t="shared" si="5"/>
        <v>1.3797661132812498</v>
      </c>
      <c r="H23" s="32">
        <f t="shared" si="5"/>
        <v>1.4142602661132808</v>
      </c>
      <c r="I23" s="32">
        <f t="shared" si="5"/>
        <v>1.4496167727661127</v>
      </c>
      <c r="J23" s="32">
        <f t="shared" si="5"/>
        <v>1.4858571920852655</v>
      </c>
      <c r="K23" s="32">
        <f t="shared" si="5"/>
        <v>1.523003621887397</v>
      </c>
      <c r="L23" s="53">
        <f t="shared" si="5"/>
        <v>1.5610787124345817</v>
      </c>
    </row>
    <row r="24" spans="1:12">
      <c r="A24" s="41" t="s">
        <v>54</v>
      </c>
      <c r="B24" s="9">
        <f>SUM(C24:L24)</f>
        <v>216453.2047003319</v>
      </c>
      <c r="C24" s="6">
        <f>C13*C20*C17+C13*C22</f>
        <v>17250</v>
      </c>
      <c r="D24" s="6">
        <f t="shared" ref="D24:L24" si="6">D13*D20*D17+D13*D22</f>
        <v>18103.125</v>
      </c>
      <c r="E24" s="6">
        <f t="shared" si="6"/>
        <v>18998.671875</v>
      </c>
      <c r="F24" s="6">
        <f t="shared" si="6"/>
        <v>19938.755859375004</v>
      </c>
      <c r="G24" s="6">
        <f t="shared" si="6"/>
        <v>20925.597802734377</v>
      </c>
      <c r="H24" s="6">
        <f t="shared" si="6"/>
        <v>21961.52944702149</v>
      </c>
      <c r="I24" s="6">
        <f t="shared" si="6"/>
        <v>23048.99896737672</v>
      </c>
      <c r="J24" s="6">
        <f t="shared" si="6"/>
        <v>24190.57678994981</v>
      </c>
      <c r="K24" s="6">
        <f t="shared" si="6"/>
        <v>25388.961700506661</v>
      </c>
      <c r="L24" s="44">
        <f t="shared" si="6"/>
        <v>26646.987258367841</v>
      </c>
    </row>
    <row r="25" spans="1:12">
      <c r="A25" s="41" t="s">
        <v>55</v>
      </c>
      <c r="B25" s="9">
        <f>SUM(C25:L25)</f>
        <v>72586.422380367876</v>
      </c>
      <c r="C25" s="6">
        <f>C14*C17*C21+C14*C23</f>
        <v>5250</v>
      </c>
      <c r="D25" s="6">
        <f t="shared" ref="D25:L25" si="7">D14*D17*D21+D14*D23</f>
        <v>5617.96875</v>
      </c>
      <c r="E25" s="6">
        <f t="shared" si="7"/>
        <v>6011.8457343750006</v>
      </c>
      <c r="F25" s="6">
        <f t="shared" si="7"/>
        <v>6433.4605393828151</v>
      </c>
      <c r="G25" s="6">
        <f t="shared" si="7"/>
        <v>6884.7722015291392</v>
      </c>
      <c r="H25" s="6">
        <f t="shared" si="7"/>
        <v>7367.8783780430349</v>
      </c>
      <c r="I25" s="6">
        <f t="shared" si="7"/>
        <v>7885.0251675237605</v>
      </c>
      <c r="J25" s="6">
        <f t="shared" si="7"/>
        <v>8438.6176268787221</v>
      </c>
      <c r="K25" s="6">
        <f t="shared" si="7"/>
        <v>9031.2310339448486</v>
      </c>
      <c r="L25" s="44">
        <f t="shared" si="7"/>
        <v>9665.6229486905486</v>
      </c>
    </row>
    <row r="26" spans="1:12">
      <c r="A26" s="54" t="s">
        <v>38</v>
      </c>
      <c r="B26" s="9" t="s">
        <v>15</v>
      </c>
      <c r="C26" s="55">
        <f>SUM($C$24:C24)</f>
        <v>17250</v>
      </c>
      <c r="D26" s="55">
        <f>SUM($C$24:D24)</f>
        <v>35353.125</v>
      </c>
      <c r="E26" s="55">
        <f>SUM($C$24:E24)</f>
        <v>54351.796875</v>
      </c>
      <c r="F26" s="55">
        <f>SUM($C$24:F24)</f>
        <v>74290.552734375</v>
      </c>
      <c r="G26" s="55">
        <f>SUM($C$24:G24)</f>
        <v>95216.150537109381</v>
      </c>
      <c r="H26" s="55">
        <f>SUM($C$24:H24)</f>
        <v>117177.67998413087</v>
      </c>
      <c r="I26" s="55">
        <f>SUM($C$24:I24)</f>
        <v>140226.67895150758</v>
      </c>
      <c r="J26" s="55">
        <f>SUM($C$24:J24)</f>
        <v>164417.2557414574</v>
      </c>
      <c r="K26" s="55">
        <f>SUM($C$24:K24)</f>
        <v>189806.21744196405</v>
      </c>
      <c r="L26" s="56">
        <f>SUM($C$24:L24)</f>
        <v>216453.2047003319</v>
      </c>
    </row>
    <row r="27" spans="1:12">
      <c r="A27" s="63" t="s">
        <v>39</v>
      </c>
      <c r="B27" s="64" t="s">
        <v>15</v>
      </c>
      <c r="C27" s="65">
        <f>SUM($C$25:C25)</f>
        <v>5250</v>
      </c>
      <c r="D27" s="65">
        <f>SUM($C$25:D25)</f>
        <v>10867.96875</v>
      </c>
      <c r="E27" s="65">
        <f>SUM($C$25:E25)</f>
        <v>16879.814484375001</v>
      </c>
      <c r="F27" s="65">
        <f>SUM($C$25:F25)</f>
        <v>23313.275023757815</v>
      </c>
      <c r="G27" s="65">
        <f>SUM($C$25:G25)</f>
        <v>30198.047225286955</v>
      </c>
      <c r="H27" s="65">
        <f>SUM($C$25:H25)</f>
        <v>37565.92560332999</v>
      </c>
      <c r="I27" s="65">
        <f>SUM($C$25:I25)</f>
        <v>45450.950770853749</v>
      </c>
      <c r="J27" s="65">
        <f>SUM($C$25:J25)</f>
        <v>53889.568397732473</v>
      </c>
      <c r="K27" s="65">
        <f>SUM($C$25:K25)</f>
        <v>62920.799431677326</v>
      </c>
      <c r="L27" s="66">
        <f>SUM($C$25:L25)</f>
        <v>72586.422380367876</v>
      </c>
    </row>
    <row r="28" spans="1:12">
      <c r="A28" s="45"/>
      <c r="B28" s="2"/>
      <c r="C28" s="2"/>
      <c r="D28" s="2"/>
      <c r="E28" s="2"/>
      <c r="F28" s="2"/>
      <c r="G28" s="2"/>
      <c r="H28" s="2"/>
      <c r="I28" s="2"/>
      <c r="J28" s="2"/>
      <c r="K28" s="2"/>
      <c r="L28" s="46"/>
    </row>
    <row r="29" spans="1:12">
      <c r="A29" s="85" t="s">
        <v>56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6"/>
    </row>
    <row r="30" spans="1:12">
      <c r="A30" s="50" t="s">
        <v>47</v>
      </c>
      <c r="B30" s="29">
        <v>15</v>
      </c>
      <c r="C30" s="33">
        <f>B30</f>
        <v>15</v>
      </c>
      <c r="D30" s="33">
        <f>C30*(1+$B$18)</f>
        <v>15.75</v>
      </c>
      <c r="E30" s="33">
        <f t="shared" ref="E30:L30" si="8">D30*(1+$B$18)</f>
        <v>16.537500000000001</v>
      </c>
      <c r="F30" s="33">
        <f t="shared" si="8"/>
        <v>17.364375000000003</v>
      </c>
      <c r="G30" s="33">
        <f t="shared" si="8"/>
        <v>18.232593750000003</v>
      </c>
      <c r="H30" s="33">
        <f t="shared" si="8"/>
        <v>19.144223437500003</v>
      </c>
      <c r="I30" s="33">
        <f t="shared" si="8"/>
        <v>20.101434609375005</v>
      </c>
      <c r="J30" s="33">
        <f t="shared" si="8"/>
        <v>21.106506339843754</v>
      </c>
      <c r="K30" s="33">
        <f t="shared" si="8"/>
        <v>22.161831656835943</v>
      </c>
      <c r="L30" s="51">
        <f t="shared" si="8"/>
        <v>23.269923239677741</v>
      </c>
    </row>
    <row r="31" spans="1:12">
      <c r="A31" s="41" t="s">
        <v>48</v>
      </c>
      <c r="B31" s="30">
        <v>0.04</v>
      </c>
      <c r="C31" s="27"/>
      <c r="D31" s="27"/>
      <c r="E31" s="27"/>
      <c r="F31" s="27"/>
      <c r="G31" s="27"/>
      <c r="H31" s="27"/>
      <c r="I31" s="27"/>
      <c r="J31" s="27"/>
      <c r="K31" s="27"/>
      <c r="L31" s="52"/>
    </row>
    <row r="32" spans="1:12">
      <c r="A32" s="41" t="s">
        <v>49</v>
      </c>
      <c r="B32" s="30">
        <v>2.5000000000000001E-2</v>
      </c>
      <c r="C32" s="27"/>
      <c r="D32" s="27"/>
      <c r="E32" s="27"/>
      <c r="F32" s="27"/>
      <c r="G32" s="27"/>
      <c r="H32" s="27"/>
      <c r="I32" s="27"/>
      <c r="J32" s="27"/>
      <c r="K32" s="27"/>
      <c r="L32" s="52"/>
    </row>
    <row r="33" spans="1:12">
      <c r="A33" s="41" t="s">
        <v>57</v>
      </c>
      <c r="B33" s="9" t="s">
        <v>15</v>
      </c>
      <c r="C33" s="28">
        <v>6.5</v>
      </c>
      <c r="D33" s="28">
        <v>6.5</v>
      </c>
      <c r="E33" s="28">
        <v>6.5</v>
      </c>
      <c r="F33" s="28">
        <v>6.5</v>
      </c>
      <c r="G33" s="28">
        <v>6.5</v>
      </c>
      <c r="H33" s="28">
        <v>6.5</v>
      </c>
      <c r="I33" s="28">
        <v>6.5</v>
      </c>
      <c r="J33" s="28">
        <v>6.5</v>
      </c>
      <c r="K33" s="28">
        <v>6.5</v>
      </c>
      <c r="L33" s="49">
        <v>6.5</v>
      </c>
    </row>
    <row r="34" spans="1:12">
      <c r="A34" s="41" t="s">
        <v>58</v>
      </c>
      <c r="B34" s="9" t="s">
        <v>15</v>
      </c>
      <c r="C34" s="28">
        <v>3.5</v>
      </c>
      <c r="D34" s="28">
        <v>3.5</v>
      </c>
      <c r="E34" s="28">
        <v>3.5</v>
      </c>
      <c r="F34" s="28">
        <v>3.5</v>
      </c>
      <c r="G34" s="28">
        <v>3.5</v>
      </c>
      <c r="H34" s="28">
        <v>3.5</v>
      </c>
      <c r="I34" s="28">
        <v>3.5</v>
      </c>
      <c r="J34" s="28">
        <v>3.5</v>
      </c>
      <c r="K34" s="28">
        <v>3.5</v>
      </c>
      <c r="L34" s="49">
        <v>3.5</v>
      </c>
    </row>
    <row r="35" spans="1:12">
      <c r="A35" s="41" t="s">
        <v>52</v>
      </c>
      <c r="B35" s="9" t="s">
        <v>15</v>
      </c>
      <c r="C35" s="31">
        <v>4.5</v>
      </c>
      <c r="D35" s="32">
        <f>C35*(1+$B$19)</f>
        <v>4.6124999999999998</v>
      </c>
      <c r="E35" s="32">
        <f>D35*(1+$B$19)</f>
        <v>4.7278124999999998</v>
      </c>
      <c r="F35" s="32">
        <f t="shared" ref="F35:L35" si="9">E35*(1+$B$19)</f>
        <v>4.846007812499999</v>
      </c>
      <c r="G35" s="32">
        <f t="shared" si="9"/>
        <v>4.9671580078124986</v>
      </c>
      <c r="H35" s="32">
        <f t="shared" si="9"/>
        <v>5.0913369580078109</v>
      </c>
      <c r="I35" s="32">
        <f t="shared" si="9"/>
        <v>5.2186203819580061</v>
      </c>
      <c r="J35" s="32">
        <f t="shared" si="9"/>
        <v>5.3490858915069559</v>
      </c>
      <c r="K35" s="32">
        <f t="shared" si="9"/>
        <v>5.482813038794629</v>
      </c>
      <c r="L35" s="53">
        <f t="shared" si="9"/>
        <v>5.6198833647644939</v>
      </c>
    </row>
    <row r="36" spans="1:12">
      <c r="A36" s="41" t="s">
        <v>52</v>
      </c>
      <c r="B36" s="9" t="s">
        <v>15</v>
      </c>
      <c r="C36" s="31">
        <v>2.5</v>
      </c>
      <c r="D36" s="32">
        <f t="shared" ref="D36:L36" si="10">C36*(1+$B$19)</f>
        <v>2.5625</v>
      </c>
      <c r="E36" s="32">
        <f t="shared" si="10"/>
        <v>2.6265624999999999</v>
      </c>
      <c r="F36" s="32">
        <f t="shared" si="10"/>
        <v>2.6922265624999997</v>
      </c>
      <c r="G36" s="32">
        <f t="shared" si="10"/>
        <v>2.7595322265624995</v>
      </c>
      <c r="H36" s="32">
        <f t="shared" si="10"/>
        <v>2.8285205322265616</v>
      </c>
      <c r="I36" s="32">
        <f t="shared" si="10"/>
        <v>2.8992335455322253</v>
      </c>
      <c r="J36" s="32">
        <f t="shared" si="10"/>
        <v>2.9717143841705309</v>
      </c>
      <c r="K36" s="32">
        <f t="shared" si="10"/>
        <v>3.046007243774794</v>
      </c>
      <c r="L36" s="53">
        <f t="shared" si="10"/>
        <v>3.1221574248691635</v>
      </c>
    </row>
    <row r="37" spans="1:12">
      <c r="A37" s="41" t="s">
        <v>54</v>
      </c>
      <c r="B37" s="9">
        <f>SUM(C37:L37)</f>
        <v>191513.96102570329</v>
      </c>
      <c r="C37" s="6">
        <f t="shared" ref="C37:L37" si="11">C13*C33*C30+C13*C35</f>
        <v>15300</v>
      </c>
      <c r="D37" s="6">
        <f t="shared" si="11"/>
        <v>16048.125</v>
      </c>
      <c r="E37" s="6">
        <f t="shared" si="11"/>
        <v>16833.234375</v>
      </c>
      <c r="F37" s="6">
        <f t="shared" si="11"/>
        <v>17657.166796875004</v>
      </c>
      <c r="G37" s="6">
        <f t="shared" si="11"/>
        <v>18521.852607421875</v>
      </c>
      <c r="H37" s="6">
        <f t="shared" si="11"/>
        <v>19429.318395263675</v>
      </c>
      <c r="I37" s="6">
        <f t="shared" si="11"/>
        <v>20381.691801434332</v>
      </c>
      <c r="J37" s="6">
        <f t="shared" si="11"/>
        <v>21381.206565073706</v>
      </c>
      <c r="K37" s="6">
        <f t="shared" si="11"/>
        <v>22430.207821234239</v>
      </c>
      <c r="L37" s="44">
        <f t="shared" si="11"/>
        <v>23531.15766340047</v>
      </c>
    </row>
    <row r="38" spans="1:12">
      <c r="A38" s="41" t="s">
        <v>55</v>
      </c>
      <c r="B38" s="9">
        <f>SUM(C38:L38)</f>
        <v>113938.61536915018</v>
      </c>
      <c r="C38" s="6">
        <f>C14*C30*C34+C14*C36</f>
        <v>8250</v>
      </c>
      <c r="D38" s="6">
        <f t="shared" ref="D38:L38" si="12">D14*D30*D34+D14*D36</f>
        <v>8826.1875</v>
      </c>
      <c r="E38" s="6">
        <f t="shared" si="12"/>
        <v>9442.8492187499996</v>
      </c>
      <c r="F38" s="6">
        <f t="shared" si="12"/>
        <v>10102.839029015628</v>
      </c>
      <c r="G38" s="6">
        <f t="shared" si="12"/>
        <v>10809.212527776026</v>
      </c>
      <c r="H38" s="6">
        <f t="shared" si="12"/>
        <v>11565.241317658778</v>
      </c>
      <c r="I38" s="6">
        <f t="shared" si="12"/>
        <v>12374.428300491889</v>
      </c>
      <c r="J38" s="6">
        <f t="shared" si="12"/>
        <v>13240.524054748361</v>
      </c>
      <c r="K38" s="6">
        <f t="shared" si="12"/>
        <v>14167.544373750972</v>
      </c>
      <c r="L38" s="44">
        <f t="shared" si="12"/>
        <v>15159.789046958524</v>
      </c>
    </row>
    <row r="39" spans="1:12">
      <c r="A39" s="54" t="s">
        <v>38</v>
      </c>
      <c r="B39" s="9" t="s">
        <v>15</v>
      </c>
      <c r="C39" s="55">
        <f>SUM($C$37:C37)</f>
        <v>15300</v>
      </c>
      <c r="D39" s="55">
        <f>SUM($C$37:D37)</f>
        <v>31348.125</v>
      </c>
      <c r="E39" s="55">
        <f>SUM($C$37:E37)</f>
        <v>48181.359375</v>
      </c>
      <c r="F39" s="55">
        <f>SUM($C$37:F37)</f>
        <v>65838.526171875012</v>
      </c>
      <c r="G39" s="55">
        <f>SUM($C$37:G37)</f>
        <v>84360.37877929688</v>
      </c>
      <c r="H39" s="55">
        <f>SUM($C$37:H37)</f>
        <v>103789.69717456056</v>
      </c>
      <c r="I39" s="55">
        <f>SUM($C$37:I37)</f>
        <v>124171.38897599489</v>
      </c>
      <c r="J39" s="55">
        <f>SUM($C$37:J37)</f>
        <v>145552.59554106859</v>
      </c>
      <c r="K39" s="55">
        <f>SUM($C$37:K37)</f>
        <v>167982.80336230283</v>
      </c>
      <c r="L39" s="56">
        <f>SUM($C$37:L37)</f>
        <v>191513.96102570329</v>
      </c>
    </row>
    <row r="40" spans="1:12">
      <c r="A40" s="63" t="s">
        <v>39</v>
      </c>
      <c r="B40" s="64" t="s">
        <v>15</v>
      </c>
      <c r="C40" s="65">
        <f>SUM($C$38:C38)</f>
        <v>8250</v>
      </c>
      <c r="D40" s="65">
        <f>SUM($C$38:D38)</f>
        <v>17076.1875</v>
      </c>
      <c r="E40" s="65">
        <f>SUM($C$38:E38)</f>
        <v>26519.036718750001</v>
      </c>
      <c r="F40" s="65">
        <f>SUM($C$38:F38)</f>
        <v>36621.875747765633</v>
      </c>
      <c r="G40" s="65">
        <f>SUM($C$38:G38)</f>
        <v>47431.088275541661</v>
      </c>
      <c r="H40" s="65">
        <f>SUM($C$38:H38)</f>
        <v>58996.32959320044</v>
      </c>
      <c r="I40" s="65">
        <f>SUM($C$38:I38)</f>
        <v>71370.757893692324</v>
      </c>
      <c r="J40" s="65">
        <f>SUM($C$38:J38)</f>
        <v>84611.281948440679</v>
      </c>
      <c r="K40" s="65">
        <f>SUM($C$38:K38)</f>
        <v>98778.826322191657</v>
      </c>
      <c r="L40" s="66">
        <f>SUM($C$38:L38)</f>
        <v>113938.61536915018</v>
      </c>
    </row>
    <row r="41" spans="1:12">
      <c r="A41" s="45"/>
      <c r="B41" s="2"/>
      <c r="C41" s="2"/>
      <c r="D41" s="2"/>
      <c r="E41" s="2"/>
      <c r="F41" s="2"/>
      <c r="G41" s="2"/>
      <c r="H41" s="2"/>
      <c r="I41" s="2"/>
      <c r="J41" s="2"/>
      <c r="K41" s="2"/>
      <c r="L41" s="46"/>
    </row>
    <row r="42" spans="1:12">
      <c r="A42" s="85" t="s">
        <v>59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6"/>
    </row>
    <row r="43" spans="1:12">
      <c r="A43" s="50" t="s">
        <v>60</v>
      </c>
      <c r="B43" s="34">
        <f>SUM(C43:L43)</f>
        <v>0</v>
      </c>
      <c r="C43" s="35"/>
      <c r="D43" s="35"/>
      <c r="E43" s="35"/>
      <c r="F43" s="35"/>
      <c r="G43" s="35"/>
      <c r="H43" s="35"/>
      <c r="I43" s="35"/>
      <c r="J43" s="35"/>
      <c r="K43" s="35"/>
      <c r="L43" s="57"/>
    </row>
    <row r="44" spans="1:12">
      <c r="A44" s="41" t="s">
        <v>61</v>
      </c>
      <c r="B44" s="34">
        <f>SUM(C44:L44)</f>
        <v>0</v>
      </c>
      <c r="C44" s="36"/>
      <c r="D44" s="36"/>
      <c r="E44" s="36"/>
      <c r="F44" s="36"/>
      <c r="G44" s="36"/>
      <c r="H44" s="36"/>
      <c r="I44" s="36"/>
      <c r="J44" s="36"/>
      <c r="K44" s="36"/>
      <c r="L44" s="58"/>
    </row>
    <row r="45" spans="1:12">
      <c r="A45" s="41" t="s">
        <v>38</v>
      </c>
      <c r="B45" s="34" t="s">
        <v>15</v>
      </c>
      <c r="C45" s="34">
        <f>SUM($C$43:C43)</f>
        <v>0</v>
      </c>
      <c r="D45" s="34">
        <f>SUM($C$43:D43)</f>
        <v>0</v>
      </c>
      <c r="E45" s="34">
        <f>SUM($C$43:E43)</f>
        <v>0</v>
      </c>
      <c r="F45" s="34">
        <f>SUM($C$43:F43)</f>
        <v>0</v>
      </c>
      <c r="G45" s="34">
        <f>SUM($C$43:G43)</f>
        <v>0</v>
      </c>
      <c r="H45" s="34">
        <f>SUM($C$43:H43)</f>
        <v>0</v>
      </c>
      <c r="I45" s="34">
        <f>SUM($C$43:I43)</f>
        <v>0</v>
      </c>
      <c r="J45" s="34">
        <f>SUM($C$43:J43)</f>
        <v>0</v>
      </c>
      <c r="K45" s="34">
        <f>SUM($C$43:K43)</f>
        <v>0</v>
      </c>
      <c r="L45" s="59">
        <f>SUM($C$43:L43)</f>
        <v>0</v>
      </c>
    </row>
    <row r="46" spans="1:12">
      <c r="A46" s="60" t="s">
        <v>39</v>
      </c>
      <c r="B46" s="61" t="s">
        <v>15</v>
      </c>
      <c r="C46" s="61">
        <f>SUM($C$44:C44)</f>
        <v>0</v>
      </c>
      <c r="D46" s="61">
        <f>SUM($C$44:D44)</f>
        <v>0</v>
      </c>
      <c r="E46" s="61">
        <f>SUM($C$44:E44)</f>
        <v>0</v>
      </c>
      <c r="F46" s="61">
        <f>SUM($C$44:F44)</f>
        <v>0</v>
      </c>
      <c r="G46" s="61">
        <f>SUM($C$44:G44)</f>
        <v>0</v>
      </c>
      <c r="H46" s="61">
        <f>SUM($C$44:H44)</f>
        <v>0</v>
      </c>
      <c r="I46" s="61">
        <f>SUM($C$44:I44)</f>
        <v>0</v>
      </c>
      <c r="J46" s="61">
        <f>SUM($C$44:J44)</f>
        <v>0</v>
      </c>
      <c r="K46" s="61">
        <f>SUM($C$44:K44)</f>
        <v>0</v>
      </c>
      <c r="L46" s="62">
        <f>SUM($C$44:L44)</f>
        <v>0</v>
      </c>
    </row>
  </sheetData>
  <mergeCells count="5">
    <mergeCell ref="A7:B7"/>
    <mergeCell ref="A16:L16"/>
    <mergeCell ref="A12:L12"/>
    <mergeCell ref="A29:L29"/>
    <mergeCell ref="A42:L42"/>
  </mergeCells>
  <conditionalFormatting sqref="C1:L1">
    <cfRule type="containsText" dxfId="3" priority="15" operator="containsText" text="navrat">
      <formula>NOT(ISERROR(SEARCH("navrat",C1)))</formula>
    </cfRule>
  </conditionalFormatting>
  <conditionalFormatting sqref="A16:L27">
    <cfRule type="expression" dxfId="2" priority="3">
      <formula>$B$8="NIE"</formula>
    </cfRule>
  </conditionalFormatting>
  <conditionalFormatting sqref="A29:L40">
    <cfRule type="expression" dxfId="1" priority="2">
      <formula>$B$9="nie"</formula>
    </cfRule>
  </conditionalFormatting>
  <conditionalFormatting sqref="A42:L46">
    <cfRule type="expression" dxfId="0" priority="1">
      <formula>$B$10="nie"</formula>
    </cfRule>
  </conditionalFormatting>
  <dataValidations count="1">
    <dataValidation type="list" allowBlank="1" showInputMessage="1" showErrorMessage="1" sqref="B8:B10" xr:uid="{00000000-0002-0000-0200-000000000000}">
      <formula1>"ANO,NIE"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FFB1C5CE19DC43A526A5BF1E78E0A4" ma:contentTypeVersion="4" ma:contentTypeDescription="Umožňuje vytvoriť nový dokument." ma:contentTypeScope="" ma:versionID="cca52b9609cb138a6c7b6774d4971772">
  <xsd:schema xmlns:xsd="http://www.w3.org/2001/XMLSchema" xmlns:xs="http://www.w3.org/2001/XMLSchema" xmlns:p="http://schemas.microsoft.com/office/2006/metadata/properties" xmlns:ns2="0ecd89ba-1761-413e-86ce-8affbb16550c" targetNamespace="http://schemas.microsoft.com/office/2006/metadata/properties" ma:root="true" ma:fieldsID="590bd6019ed11db82828620cb9d3671c" ns2:_="">
    <xsd:import namespace="0ecd89ba-1761-413e-86ce-8affbb165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d89ba-1761-413e-86ce-8affbb1655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85F523-B3AB-4F80-A091-375ADDCD3247}"/>
</file>

<file path=customXml/itemProps2.xml><?xml version="1.0" encoding="utf-8"?>
<ds:datastoreItem xmlns:ds="http://schemas.openxmlformats.org/officeDocument/2006/customXml" ds:itemID="{971365E9-C656-4837-8BAD-F900F11FF176}"/>
</file>

<file path=customXml/itemProps3.xml><?xml version="1.0" encoding="utf-8"?>
<ds:datastoreItem xmlns:ds="http://schemas.openxmlformats.org/officeDocument/2006/customXml" ds:itemID="{93F4C27F-555D-466D-91D6-B9FB28CD7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2024-12-06T22:00:40Z</dcterms:created>
  <dcterms:modified xsi:type="dcterms:W3CDTF">2024-12-12T08:57:44Z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0x01010078FFB1C5CE19DC43A526A5BF1E78E0A4</vt:lpwstr>
  </property>
</Properties>
</file>